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设置" sheetId="1" r:id="rId1"/>
    <sheet name="使用说明" sheetId="2" r:id="rId2"/>
    <sheet name="录入_项目分配" sheetId="3" r:id="rId3"/>
    <sheet name="录入_公共费用" sheetId="4" r:id="rId4"/>
    <sheet name="录入_对象收支" sheetId="5" r:id="rId5"/>
    <sheet name="录入_账户流水" sheetId="6" r:id="rId6"/>
    <sheet name="原表_对象余额汇总" sheetId="7" r:id="rId7"/>
    <sheet name="总览" sheetId="8" r:id="rId8"/>
    <sheet name="自动_月度汇总" sheetId="9" r:id="rId9"/>
    <sheet name="自动_对象余额" sheetId="10" r:id="rId10"/>
    <sheet name="校验中心" sheetId="11" r:id="rId11"/>
    <sheet name="参数_分配规则" sheetId="12" r:id="rId12"/>
    <sheet name="原表快照_收入分配表" sheetId="13" r:id="rId13"/>
    <sheet name="原表快照_公共组收入支配情况（实际扣款时间）" sheetId="14" r:id="rId14"/>
    <sheet name="原表快照_公共组收入支配情况（应支付时间）" sheetId="15" r:id="rId15"/>
    <sheet name="原表快照_苏薇提成支取表" sheetId="16" r:id="rId16"/>
    <sheet name="原表快照_小蒋提成支取表" sheetId="17" r:id="rId17"/>
    <sheet name="原表快照_木雨提成支取表" sheetId="18" r:id="rId18"/>
    <sheet name="原表快照_妹妹项目组" sheetId="19" r:id="rId19"/>
    <sheet name="原表快照_自研产品组" sheetId="20" r:id="rId20"/>
    <sheet name="原表快照_AIGC组" sheetId="21" r:id="rId21"/>
    <sheet name="原表快照_电商渠道组" sheetId="22" r:id="rId22"/>
    <sheet name="原表快照_云汉寻真账户明细" sheetId="23" r:id="rId23"/>
    <sheet name="原表快照_个体户账户" sheetId="24" r:id="rId24"/>
  </sheets>
  <definedNames>
    <definedName name="list_公共费用大类">设置!$D$2:$D$6</definedName>
    <definedName name="list_口径">设置!$E$2:$E$3</definedName>
    <definedName name="list_对象">设置!$C$2:$C$13</definedName>
    <definedName name="list_对象收支类型">设置!$F$2:$F$8</definedName>
    <definedName name="list_月份">设置!$A$2:$A$14</definedName>
    <definedName name="list_款项类型">设置!$B$2:$B$5</definedName>
  </definedName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<sst xmlns="http://schemas.openxmlformats.org/spreadsheetml/2006/main" count="1991" uniqueCount="329">
  <si>
    <t>月份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</si>
  <si>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</si>
  <si>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</si>
  <si>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</si>
  <si>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</si>
  <si>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</si>
  <si>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</si>
  <si>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</si>
  <si>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</si>
  <si>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</si>
  <si>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</si>
  <si>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</si>
  <si>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</si>
  <si>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25年余额</t>
  </si>
  <si>
    <t>款项类型</t>
  </si>
  <si>
    <t>期初余额</t>
  </si>
  <si>
    <t>项目收入</t>
  </si>
  <si>
    <t>收入调整</t>
  </si>
  <si>
    <t>成本调整</t>
  </si>
  <si>
    <t>对象</t>
  </si>
  <si>
    <t>苏薇</t>
  </si>
  <si>
    <t>蒋家宁</t>
  </si>
  <si>
    <t>朱潇潇/木雨</t>
  </si>
  <si>
    <t>公共可支配</t>
  </si>
  <si>
    <t>妹妹项目组</t>
  </si>
  <si>
    <t>自研产品组</t>
  </si>
  <si>
    <t>电商渠道组</t>
  </si>
  <si>
    <t>AIGC组</t>
  </si>
  <si>
    <t>云汉寻真</t>
  </si>
  <si>
    <t>元浪公共账户</t>
  </si>
  <si>
    <t>个体户珍珍日上</t>
  </si>
  <si>
    <t>个体户清凉</t>
  </si>
  <si>
    <t>公共费用大类</t>
  </si>
  <si>
    <t>税费</t>
  </si>
  <si>
    <t>人工费用</t>
  </si>
  <si>
    <t>经营费用</t>
  </si>
  <si>
    <t>账户余额</t>
  </si>
  <si>
    <t>其他</t>
  </si>
  <si>
    <t>口径</t>
  </si>
  <si>
    <t>实际扣款</t>
  </si>
  <si>
    <t>应支付</t>
  </si>
  <si>
    <t>对象收支类型</t>
  </si>
  <si>
    <t>收入/调整</t>
  </si>
  <si>
    <t>支出/费用</t>
  </si>
  <si>
    <t>工资</t>
  </si>
  <si>
    <t>社保</t>
  </si>
  <si>
    <t>公积金</t>
  </si>
  <si>
    <t>报销</t>
  </si>
  <si>
    <t>万物有灵项目利润分配表｜智能简化版</t>
  </si>
  <si>
    <t>模块</t>
  </si>
  <si>
    <t>说明</t>
  </si>
  <si>
    <t>这版解决什么问题</t>
  </si>
  <si>
    <t>原表有 16 个工作表、很多跨月横向公式、部分工作表被扩展到 16000 多列，维护成本高。本版改为“录入表 + 自动汇总 + 校验中心”，后续只需要往黄色录入表追加行。</t>
  </si>
  <si>
    <t>主要录入入口</t>
  </si>
  <si>
    <t>1）录入_项目分配：填项目收入、成本、第三方、各对象分配；2）录入_公共费用：填公共组税费/人工/经营费用；3）录入_对象收支：填成员/项目组工资、社保、报销、内部调整；4）录入_账户流水：维护银行/个体户/元浪流水。</t>
  </si>
  <si>
    <t>自动化能力</t>
  </si>
  <si>
    <t>总览、自动_月度汇总、自动_对象余额、校验中心会用 SUMIFS 自动汇总。新增月份或新增行后，表格会自动计算。</t>
  </si>
  <si>
    <t>校验逻辑</t>
  </si>
  <si>
    <t>项目收入行会检查：可分配利润 = 收入 - 项目支出 - 第三方支出；分配差额 = 可分配利润 - 各对象分配合计。期初余额不参与利润差额校验。</t>
  </si>
  <si>
    <t>保留原始数据</t>
  </si>
  <si>
    <t>原始关键表已裁剪到“原表快照_*”，去掉了原表误扩展出的空白 16000 列，便于核对。原文件未被覆盖。</t>
  </si>
  <si>
    <t>年份</t>
  </si>
  <si>
    <t>项目/款项</t>
  </si>
  <si>
    <t>收入金额</t>
  </si>
  <si>
    <t>项目支出</t>
  </si>
  <si>
    <t>第三方支出</t>
  </si>
  <si>
    <t>可分配利润</t>
  </si>
  <si>
    <t>分配合计</t>
  </si>
  <si>
    <t>分配差额</t>
  </si>
  <si>
    <t>备注</t>
  </si>
  <si>
    <t>期初</t>
  </si>
  <si>
    <t>25年余额结转</t>
  </si>
  <si>
    <t>由原表“25年余额”列汇总</t>
  </si>
  <si>
    <t>网易首付款</t>
  </si>
  <si>
    <t>由原收入分配表明细列转换</t>
  </si>
  <si>
    <t>网易尾款</t>
  </si>
  <si>
    <t>王小卤</t>
  </si>
  <si>
    <t>大类</t>
  </si>
  <si>
    <t>明细项目</t>
  </si>
  <si>
    <t>金额</t>
  </si>
  <si>
    <t>增值税</t>
  </si>
  <si>
    <t>来自原表：公共组收入支配情况（实际扣款时间）</t>
  </si>
  <si>
    <t>附加税</t>
  </si>
  <si>
    <t>印花税</t>
  </si>
  <si>
    <t>所得税</t>
  </si>
  <si>
    <t>财务人工费</t>
  </si>
  <si>
    <t>法务费用</t>
  </si>
  <si>
    <t>其他费用</t>
  </si>
  <si>
    <t>办公用品费用</t>
  </si>
  <si>
    <t>AI相关费用</t>
  </si>
  <si>
    <t>业务招待费用/差旅费用</t>
  </si>
  <si>
    <t>固定资产费用</t>
  </si>
  <si>
    <t>网银费用</t>
  </si>
  <si>
    <t>来自原表：公共组收入支配情况（应支付时间）</t>
  </si>
  <si>
    <t>设计人工费</t>
  </si>
  <si>
    <t>类型</t>
  </si>
  <si>
    <t>明细</t>
  </si>
  <si>
    <t>其他内部调整收入：</t>
  </si>
  <si>
    <t>来自原表：苏薇提成支取表</t>
  </si>
  <si>
    <t>社保公司部分26.2%</t>
  </si>
  <si>
    <t>公积金公司部分12%</t>
  </si>
  <si>
    <t>报销款1</t>
  </si>
  <si>
    <t>报销款2</t>
  </si>
  <si>
    <t>来自原表：小蒋提成支取表</t>
  </si>
  <si>
    <t>来自原表：木雨提成支取表</t>
  </si>
  <si>
    <t>报销款3</t>
  </si>
  <si>
    <t>来自原表：妹妹项目组</t>
  </si>
  <si>
    <t>来自原表：自研产品组</t>
  </si>
  <si>
    <t>项目支出：</t>
  </si>
  <si>
    <t>推广费用</t>
  </si>
  <si>
    <t>利润</t>
  </si>
  <si>
    <t>客服费用</t>
  </si>
  <si>
    <t>其他支出</t>
  </si>
  <si>
    <t>网银服务费</t>
  </si>
  <si>
    <t>来自原表：AIGC组</t>
  </si>
  <si>
    <t>来自原表：云汉寻真账户明细</t>
  </si>
  <si>
    <t>账户</t>
  </si>
  <si>
    <t>日期</t>
  </si>
  <si>
    <t>摘要</t>
  </si>
  <si>
    <t>收入</t>
  </si>
  <si>
    <t>支出</t>
  </si>
  <si>
    <t>余额</t>
  </si>
  <si>
    <t>分类</t>
  </si>
  <si>
    <t>收到万物有灵款项 木雨报销</t>
  </si>
  <si>
    <t>走账</t>
  </si>
  <si>
    <t>结息</t>
  </si>
  <si>
    <t>网银手续费</t>
  </si>
  <si>
    <t>支付深圳市龙岗区博礼昌盛商行</t>
  </si>
  <si>
    <t>货款-第一批</t>
  </si>
  <si>
    <t>杭州义均文化创意有限公司</t>
  </si>
  <si>
    <t>杭州冰夷文化创意有限公司</t>
  </si>
  <si>
    <t>周爱珍（木雨个人收款）</t>
  </si>
  <si>
    <t>杭州夸父文化创意有限公司自贸区项目利润结款</t>
  </si>
  <si>
    <t>货款-第二批</t>
  </si>
  <si>
    <t>四川灵树盒电子商务有限公司 打样费</t>
  </si>
  <si>
    <t>货款-心途有喵</t>
  </si>
  <si>
    <t>杭州义均文化创意有限公司 打样费</t>
  </si>
  <si>
    <t>杭州万物有灵文化科技有限公司 ( 开发ai辅助工具ai)</t>
  </si>
  <si>
    <t>周爱珍( 开发ai辅助工具ai)</t>
  </si>
  <si>
    <t>四川灵树盒电子商务有限公司 货款及模具费</t>
  </si>
  <si>
    <t>杭州义均文化创意有限公司 心途有喵飞机行李牌的模具费</t>
  </si>
  <si>
    <t>杭州义均文化创意有限公司  心途有喵飞机行李牌500</t>
  </si>
  <si>
    <t>四川灵树盒电子商务有限公司 行李牌尾款</t>
  </si>
  <si>
    <t>退打样费 杭州义均文化创意有限公司</t>
  </si>
  <si>
    <t>收款-万物有灵</t>
  </si>
  <si>
    <t>往来 周爱珍</t>
  </si>
  <si>
    <t>万物有灵打款</t>
  </si>
  <si>
    <t>短信收费</t>
  </si>
  <si>
    <t>资金支出</t>
  </si>
  <si>
    <t>服务费杭州万物有灵文化科技有限公司</t>
  </si>
  <si>
    <t>惠享服务</t>
  </si>
  <si>
    <t>利息</t>
  </si>
  <si>
    <t>往来王涵宇</t>
  </si>
  <si>
    <t>服务费杭州夸父文化创意有限公司</t>
  </si>
  <si>
    <t>对公工行证书收入</t>
  </si>
  <si>
    <t>自助打印回单手续费</t>
  </si>
  <si>
    <t>财智账户卡普通卡年费</t>
  </si>
  <si>
    <t>到账伴侣</t>
  </si>
  <si>
    <t>元浪提供苏薇项目款</t>
  </si>
  <si>
    <t>上海妙果文化艺术发展有限公司设计费首付款</t>
  </si>
  <si>
    <t>已结算206000元</t>
  </si>
  <si>
    <t>国博送礼4871.91*75%</t>
  </si>
  <si>
    <t>北京厚翼文化有限公司设计费 【苏薇项目】九华山设计服务费支付50%首付款</t>
  </si>
  <si>
    <t>上海妙果文化艺术发展有限公司设计费尾款</t>
  </si>
  <si>
    <t>洋河酒业X敦煌 项目收入</t>
  </si>
  <si>
    <t>国博送礼端午</t>
  </si>
  <si>
    <t>【苏薇项目】九华山设计服务费支付尾款</t>
  </si>
  <si>
    <t>国博中秋送礼</t>
  </si>
  <si>
    <t>网易X敦煌 项目收入 首笔</t>
  </si>
  <si>
    <t>网易X敦煌 项目收入 尾款收入140000支出84000</t>
  </si>
  <si>
    <t>税费印花税160000*0.00015+增值税及附加税（3653.93+2195.97+2848.29）/1.06*0.06*1.06</t>
  </si>
  <si>
    <t>元浪已结算（云汉寻真）</t>
  </si>
  <si>
    <t>项目/表</t>
  </si>
  <si>
    <t>可支配收入</t>
  </si>
  <si>
    <t>其他内部调整</t>
  </si>
  <si>
    <t>收入合计</t>
  </si>
  <si>
    <t>支出/费用合计</t>
  </si>
  <si>
    <t>可分配余额</t>
  </si>
  <si>
    <t>苏薇提成支取表</t>
  </si>
  <si>
    <t>小蒋提成支取表</t>
  </si>
  <si>
    <t>木雨提成支取表</t>
  </si>
  <si>
    <t>云汉寻真账户明细</t>
  </si>
  <si>
    <t>万物有灵项目利润分配总览</t>
  </si>
  <si>
    <t>核心指标</t>
  </si>
  <si>
    <t>项目收入合计</t>
  </si>
  <si>
    <t>来自录入_项目分配</t>
  </si>
  <si>
    <t>项目可分配利润</t>
  </si>
  <si>
    <t>收入-支出-第三方</t>
  </si>
  <si>
    <t>项目分配合计</t>
  </si>
  <si>
    <t>各对象分配汇总</t>
  </si>
  <si>
    <t>应接近 0；期初余额不参与</t>
  </si>
  <si>
    <t>公共费用-实际扣款</t>
  </si>
  <si>
    <t>公共费用实际扣款口径</t>
  </si>
  <si>
    <t>公共费用-应支付</t>
  </si>
  <si>
    <t>公共费用应支付/暂估口径</t>
  </si>
  <si>
    <t>账户流水收入</t>
  </si>
  <si>
    <t>账户流水合计收入</t>
  </si>
  <si>
    <t>账户流水支出</t>
  </si>
  <si>
    <t>账户流水合计支出</t>
  </si>
  <si>
    <t>对象分配/余额速览</t>
  </si>
  <si>
    <t>原表可分配余额快照</t>
  </si>
  <si>
    <t>月度项目收入/利润</t>
  </si>
  <si>
    <t>公共费用实际</t>
  </si>
  <si>
    <t>公共费用应支付</t>
  </si>
  <si>
    <t>账户收入</t>
  </si>
  <si>
    <t>账户支出</t>
  </si>
  <si>
    <t>对象收支收入/调整</t>
  </si>
  <si>
    <t>对象收支支出/费用</t>
  </si>
  <si>
    <t>自动余额</t>
  </si>
  <si>
    <t>原表余额快照</t>
  </si>
  <si>
    <t>差异</t>
  </si>
  <si>
    <t>检查项</t>
  </si>
  <si>
    <t>结果</t>
  </si>
  <si>
    <t>项目分配差额合计</t>
  </si>
  <si>
    <t>应为 0；若非 0，请检查“录入_项目分配”的分配列</t>
  </si>
  <si>
    <t>项目收入与分配差异行数</t>
  </si>
  <si>
    <t>应为 0</t>
  </si>
  <si>
    <t>公共费用实际扣款合计</t>
  </si>
  <si>
    <t>与原表实际扣款口径对照</t>
  </si>
  <si>
    <t>公共费用应支付合计</t>
  </si>
  <si>
    <t>与原表应支付/暂估口径对照</t>
  </si>
  <si>
    <t>账户流水净额</t>
  </si>
  <si>
    <t>用于快速检查流水录入</t>
  </si>
  <si>
    <t>默认比例</t>
  </si>
  <si>
    <t>常规比例参考，可按项目改</t>
  </si>
  <si>
    <t>提示</t>
  </si>
  <si>
    <t>此表提供默认参考比例。具体项目可直接在“录入_项目分配”中覆盖各对象金额；校验中心会检查是否分配完。</t>
  </si>
  <si>
    <t>项目名称</t>
  </si>
  <si>
    <t>合计</t>
  </si>
  <si>
    <t>1月合计</t>
  </si>
  <si>
    <t>2月合计</t>
  </si>
  <si>
    <t>3月合计</t>
  </si>
  <si>
    <t>4月合计</t>
  </si>
  <si>
    <t>5月合计</t>
  </si>
  <si>
    <t>6月合计</t>
  </si>
  <si>
    <t>7月合计</t>
  </si>
  <si>
    <t>8月合计</t>
  </si>
  <si>
    <t>9月合计</t>
  </si>
  <si>
    <t>10月合计</t>
  </si>
  <si>
    <t>11月合计</t>
  </si>
  <si>
    <t>12月合计</t>
  </si>
  <si>
    <t>一、收入合计</t>
  </si>
  <si>
    <t>项目第三方</t>
  </si>
  <si>
    <t>朱潇潇</t>
  </si>
  <si>
    <t>合计金额</t>
  </si>
  <si>
    <t>公共可支配收入：</t>
  </si>
  <si>
    <t>公共费用支出项目：</t>
  </si>
  <si>
    <t>税费合计</t>
  </si>
  <si>
    <t>妹妹人工费</t>
  </si>
  <si>
    <t>人事人工费</t>
  </si>
  <si>
    <t>人工费用合计</t>
  </si>
  <si>
    <t>其他经营相关费用合计</t>
  </si>
  <si>
    <t>公共可分配余额</t>
  </si>
  <si>
    <t>清凉账户余额</t>
  </si>
  <si>
    <t>报表余额</t>
  </si>
  <si>
    <t>调整工资金额</t>
  </si>
  <si>
    <t>珍珍日上账户余额</t>
  </si>
  <si>
    <t>公共账户</t>
  </si>
  <si>
    <t>杭州秘色破茧文化创意有限公司</t>
  </si>
  <si>
    <t>苏薇账户</t>
  </si>
  <si>
    <t>杭州云汉寻真文化创意有限公司</t>
  </si>
  <si>
    <t>小蒋账户</t>
  </si>
  <si>
    <t>杭州太初有象企业管理合伙企业（有限合伙）（杭州值符企业管理合伙企业（有限合伙））</t>
  </si>
  <si>
    <t>木雨账户</t>
  </si>
  <si>
    <t>万物有灵账户余额</t>
  </si>
  <si>
    <t>差额</t>
  </si>
  <si>
    <t>杭州点绛文化科技有限公司（杭州天禽文化科技有限公司）</t>
  </si>
  <si>
    <t>妹妹账户</t>
  </si>
  <si>
    <t>杭州海碗文化创意有限公司</t>
  </si>
  <si>
    <t>元浪部分余额</t>
  </si>
  <si>
    <t>公共账户合计金额</t>
  </si>
  <si>
    <t>个体户及元浪账户</t>
  </si>
  <si>
    <t>按项目暂估税费</t>
  </si>
  <si>
    <t>业务招待费用</t>
  </si>
  <si>
    <t>苏薇提成支配表</t>
  </si>
  <si>
    <t>苏薇可支配收入：</t>
  </si>
  <si>
    <t>苏薇可支配收入合计：</t>
  </si>
  <si>
    <t>苏薇支配支出：</t>
  </si>
  <si>
    <t>人工成本合计</t>
  </si>
  <si>
    <t>报销款合计</t>
  </si>
  <si>
    <t>苏薇可分配余额</t>
  </si>
  <si>
    <t>小蒋提成支配表</t>
  </si>
  <si>
    <t>小蒋可支配收入：</t>
  </si>
  <si>
    <t>小蒋可支配收入合计：</t>
  </si>
  <si>
    <t>小蒋支配支出：</t>
  </si>
  <si>
    <t>小蒋可分配余额</t>
  </si>
  <si>
    <t>木雨提成支配表</t>
  </si>
  <si>
    <t>木雨可支配收入：</t>
  </si>
  <si>
    <t>木雨可支配收入合计：</t>
  </si>
  <si>
    <t>木雨支配支出：</t>
  </si>
  <si>
    <t>木雨可分配余额</t>
  </si>
  <si>
    <t>妹妹提成支配表</t>
  </si>
  <si>
    <t>可支配收入：</t>
  </si>
  <si>
    <t>可支配收入合计：</t>
  </si>
  <si>
    <t>妹妹支配支出：</t>
  </si>
  <si>
    <t>妹妹可分配余额</t>
  </si>
  <si>
    <t>自研组可支配收入：</t>
  </si>
  <si>
    <t>费用合计</t>
  </si>
  <si>
    <t>房租费用</t>
  </si>
  <si>
    <t>水电</t>
  </si>
  <si>
    <t>国博产品项目利润</t>
  </si>
  <si>
    <t>良渚博物馆产品项目利润</t>
  </si>
  <si>
    <t>自研组可分配余额</t>
  </si>
  <si>
    <t>国博产品明细</t>
  </si>
  <si>
    <t>项目收入：</t>
  </si>
  <si>
    <t>国博天猫项目收入：</t>
  </si>
  <si>
    <t>国博抖音项目收入：</t>
  </si>
  <si>
    <t>线下及京东收入</t>
  </si>
  <si>
    <t>国博产品成本</t>
  </si>
  <si>
    <t>国博分成</t>
  </si>
  <si>
    <t>自贸分成</t>
  </si>
  <si>
    <t>仓储费</t>
  </si>
  <si>
    <t>税费支出</t>
  </si>
  <si>
    <t>人员成本合计：</t>
  </si>
  <si>
    <t>国博产品公摊支出</t>
  </si>
  <si>
    <t>良渚博物馆产品明细</t>
  </si>
  <si>
    <t>良渚天猫项目收入：</t>
  </si>
  <si>
    <t>良渚抖音项目收入：</t>
  </si>
  <si>
    <t>良渚产品成本</t>
  </si>
  <si>
    <t>良渚产品公摊支出</t>
  </si>
  <si>
    <t>AIGC组可支配收入：</t>
  </si>
  <si>
    <t>AIGC组项目利润</t>
  </si>
  <si>
    <t>其他项目利润</t>
  </si>
  <si>
    <t>AIGC可分配余额</t>
  </si>
  <si>
    <t>电商渠道组组可支配收入：</t>
  </si>
  <si>
    <t>电商渠道组项目利润</t>
  </si>
  <si>
    <t>电商渠道组可分配余额</t>
  </si>
  <si>
    <t>云汉寻真可支配收入：</t>
  </si>
  <si>
    <t>珍珍日上账户</t>
  </si>
</sst>
</file>

<file path=xl/styles.xml><?xml version="1.0" encoding="utf-8"?>
<styleSheet xmlns="http://schemas.openxmlformats.org/spreadsheetml/2006/main">
  <numFmts count="3">
    <numFmt numFmtId="164" formatCode="#,##0.00;[Red]-#,##0.00;-"/>
    <numFmt numFmtId="165" formatCode="yyyy-mm-dd"/>
    <numFmt numFmtId="166" formatCode="0.00%"/>
  </numFmts>
  <fonts count="5">
    <font>
      <sz val="11"/>
      <color theme="1"/>
      <name val="Calibri"/>
      <family val="2"/>
      <scheme val="minor"/>
    </font>
    <font>
      <b/>
      <sz val="18"/>
      <color rgb="FFFFFFFF"/>
      <name val="Calibri"/>
      <family val="2"/>
      <scheme val="minor"/>
    </font>
    <font>
      <b/>
      <sz val="13"/>
      <color rgb="FFFFFFFF"/>
      <name val="Calibri"/>
      <family val="2"/>
      <scheme val="minor"/>
    </font>
    <font>
      <b/>
      <sz val="11"/>
      <color rgb="FF1F4E78"/>
      <name val="Calibri"/>
      <family val="2"/>
      <scheme val="minor"/>
    </font>
    <font>
      <sz val="11"/>
      <color rgb="FF55555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7365D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D9EAF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/>
    <xf numFmtId="0" fontId="3" fillId="4" borderId="1" xfId="0" applyFont="1" applyFill="1" applyBorder="1"/>
    <xf numFmtId="0" fontId="4" fillId="0" borderId="0" xfId="0" applyFont="1" applyAlignment="1">
      <alignment vertical="top" wrapText="1"/>
    </xf>
    <xf numFmtId="164" fontId="0" fillId="0" borderId="0" xfId="0" applyNumberFormat="1"/>
    <xf numFmtId="165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2">
    <dxf>
      <font>
        <color rgb="FF990000"/>
      </font>
      <fill>
        <patternFill>
          <bgColor rgb="FFF4CCCC"/>
        </patternFill>
      </fill>
    </dxf>
    <dxf>
      <font>
        <color rgb="FF274E13"/>
      </font>
      <fill>
        <patternFill>
          <bgColor rgb="FFD9EAD3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theme" Target="theme/theme1.xml"/><Relationship Id="rId26" Type="http://schemas.openxmlformats.org/officeDocument/2006/relationships/styles" Target="styles.xml"/><Relationship Id="rId27" Type="http://schemas.openxmlformats.org/officeDocument/2006/relationships/sharedStrings" Target="sharedStrings.xml"/><Relationship Id="rId28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id="1" name="tbl_project" displayName="tbl_project" ref="A1:S35" totalsRowShown="0">
  <autoFilter ref="A1:S35"/>
  <tableColumns count="19">
    <tableColumn id="1" name="年份"/>
    <tableColumn id="2" name="月份"/>
    <tableColumn id="3" name="款项类型"/>
    <tableColumn id="4" name="项目/款项"/>
    <tableColumn id="5" name="收入金额"/>
    <tableColumn id="6" name="项目支出"/>
    <tableColumn id="7" name="第三方支出"/>
    <tableColumn id="8" name="可分配利润"/>
    <tableColumn id="9" name="苏薇"/>
    <tableColumn id="10" name="蒋家宁"/>
    <tableColumn id="11" name="朱潇潇/木雨"/>
    <tableColumn id="12" name="公共可支配"/>
    <tableColumn id="13" name="妹妹项目组"/>
    <tableColumn id="14" name="自研产品组"/>
    <tableColumn id="15" name="电商渠道组"/>
    <tableColumn id="16" name="AIGC组"/>
    <tableColumn id="17" name="分配合计"/>
    <tableColumn id="18" name="分配差额"/>
    <tableColumn id="19" name="备注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bl_public" displayName="tbl_public" ref="A1:G78" totalsRowShown="0">
  <autoFilter ref="A1:G78"/>
  <tableColumns count="7">
    <tableColumn id="1" name="口径"/>
    <tableColumn id="2" name="年份"/>
    <tableColumn id="3" name="月份"/>
    <tableColumn id="4" name="大类"/>
    <tableColumn id="5" name="明细项目"/>
    <tableColumn id="6" name="金额"/>
    <tableColumn id="7" name="备注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_object_detail" displayName="tbl_object_detail" ref="A1:G138" totalsRowShown="0">
  <autoFilter ref="A1:G138"/>
  <tableColumns count="7">
    <tableColumn id="1" name="年份"/>
    <tableColumn id="2" name="月份"/>
    <tableColumn id="3" name="对象"/>
    <tableColumn id="4" name="类型"/>
    <tableColumn id="5" name="明细"/>
    <tableColumn id="6" name="金额"/>
    <tableColumn id="7" name="备注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bl_cashflow" displayName="tbl_cashflow" ref="A1:H183" totalsRowShown="0">
  <autoFilter ref="A1:H183"/>
  <tableColumns count="8">
    <tableColumn id="1" name="账户"/>
    <tableColumn id="2" name="日期"/>
    <tableColumn id="3" name="摘要"/>
    <tableColumn id="4" name="收入"/>
    <tableColumn id="5" name="支出"/>
    <tableColumn id="6" name="余额"/>
    <tableColumn id="7" name="分类"/>
    <tableColumn id="8" name="备注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bl_object_snapshot" displayName="tbl_object_snapshot" ref="A1:G9" totalsRowShown="0">
  <autoFilter ref="A1:G9"/>
  <tableColumns count="7">
    <tableColumn id="1" name="对象"/>
    <tableColumn id="2" name="项目/表"/>
    <tableColumn id="3" name="可支配收入"/>
    <tableColumn id="4" name="其他内部调整"/>
    <tableColumn id="5" name="收入合计"/>
    <tableColumn id="6" name="支出/费用合计"/>
    <tableColumn id="7" name="可分配余额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bl_rules" displayName="tbl_rules" ref="A1:C9" totalsRowShown="0">
  <autoFilter ref="A1:C9"/>
  <tableColumns count="3">
    <tableColumn id="1" name="对象"/>
    <tableColumn id="2" name="默认比例"/>
    <tableColumn id="3" name="说明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workbookViewId="0"/>
  </sheetViews>
  <sheetFormatPr defaultRowHeight="15"/>
  <sheetData>
    <row r="1" spans="1:6">
      <c r="A1" t="s">
        <v>0</v>
      </c>
      <c r="B1" t="s">
        <v>14</v>
      </c>
      <c r="C1" t="s">
        <v>19</v>
      </c>
      <c r="D1" t="s">
        <v>32</v>
      </c>
      <c r="E1" t="s">
        <v>38</v>
      </c>
      <c r="F1" t="s">
        <v>41</v>
      </c>
    </row>
    <row r="2" spans="1:6">
      <c r="A2" t="s">
        <v>1</v>
      </c>
      <c r="B2" t="s">
        <v>15</v>
      </c>
      <c r="C2" t="s">
        <v>20</v>
      </c>
      <c r="D2" t="s">
        <v>33</v>
      </c>
      <c r="E2" t="s">
        <v>39</v>
      </c>
      <c r="F2" t="s">
        <v>42</v>
      </c>
    </row>
    <row r="3" spans="1:6">
      <c r="A3" t="s">
        <v>2</v>
      </c>
      <c r="B3" t="s">
        <v>16</v>
      </c>
      <c r="C3" t="s">
        <v>21</v>
      </c>
      <c r="D3" t="s">
        <v>34</v>
      </c>
      <c r="E3" t="s">
        <v>40</v>
      </c>
      <c r="F3" t="s">
        <v>43</v>
      </c>
    </row>
    <row r="4" spans="1:6">
      <c r="A4" t="s">
        <v>3</v>
      </c>
      <c r="B4" t="s">
        <v>17</v>
      </c>
      <c r="C4" t="s">
        <v>22</v>
      </c>
      <c r="D4" t="s">
        <v>35</v>
      </c>
      <c r="F4" t="s">
        <v>44</v>
      </c>
    </row>
    <row r="5" spans="1:6">
      <c r="A5" t="s">
        <v>4</v>
      </c>
      <c r="B5" t="s">
        <v>18</v>
      </c>
      <c r="C5" t="s">
        <v>23</v>
      </c>
      <c r="D5" t="s">
        <v>36</v>
      </c>
      <c r="F5" t="s">
        <v>45</v>
      </c>
    </row>
    <row r="6" spans="1:6">
      <c r="A6" t="s">
        <v>5</v>
      </c>
      <c r="C6" t="s">
        <v>24</v>
      </c>
      <c r="D6" t="s">
        <v>37</v>
      </c>
      <c r="F6" t="s">
        <v>46</v>
      </c>
    </row>
    <row r="7" spans="1:6">
      <c r="A7" t="s">
        <v>6</v>
      </c>
      <c r="C7" t="s">
        <v>25</v>
      </c>
      <c r="F7" t="s">
        <v>47</v>
      </c>
    </row>
    <row r="8" spans="1:6">
      <c r="A8" t="s">
        <v>7</v>
      </c>
      <c r="C8" t="s">
        <v>26</v>
      </c>
      <c r="F8" t="s">
        <v>37</v>
      </c>
    </row>
    <row r="9" spans="1:6">
      <c r="A9" t="s">
        <v>8</v>
      </c>
      <c r="C9" t="s">
        <v>27</v>
      </c>
    </row>
    <row r="10" spans="1:6">
      <c r="A10" t="s">
        <v>9</v>
      </c>
      <c r="C10" t="s">
        <v>28</v>
      </c>
    </row>
    <row r="11" spans="1:6">
      <c r="A11" t="s">
        <v>10</v>
      </c>
      <c r="C11" t="s">
        <v>29</v>
      </c>
    </row>
    <row r="12" spans="1:6">
      <c r="A12" t="s">
        <v>11</v>
      </c>
      <c r="C12" t="s">
        <v>30</v>
      </c>
    </row>
    <row r="13" spans="1:6">
      <c r="A13" t="s">
        <v>12</v>
      </c>
      <c r="C13" t="s">
        <v>31</v>
      </c>
    </row>
    <row r="14" spans="1:6">
      <c r="A14" t="s">
        <v>13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0"/>
  <sheetViews>
    <sheetView workbookViewId="0"/>
  </sheetViews>
  <sheetFormatPr defaultRowHeight="15"/>
  <cols>
    <col min="1" max="1" width="18.7109375" customWidth="1"/>
    <col min="2" max="7" width="16.7109375" style="5" customWidth="1"/>
  </cols>
  <sheetData>
    <row r="1" spans="1:7">
      <c r="A1" s="2" t="s">
        <v>19</v>
      </c>
      <c r="B1" s="2" t="s">
        <v>188</v>
      </c>
      <c r="C1" s="2" t="s">
        <v>206</v>
      </c>
      <c r="D1" s="2" t="s">
        <v>207</v>
      </c>
      <c r="E1" s="2" t="s">
        <v>208</v>
      </c>
      <c r="F1" s="2" t="s">
        <v>209</v>
      </c>
      <c r="G1" s="2" t="s">
        <v>210</v>
      </c>
    </row>
    <row r="2" spans="1:7">
      <c r="A2" t="s">
        <v>20</v>
      </c>
      <c r="B2" s="5">
        <f>SUM(tbl_project[苏薇])</f>
        <v>0</v>
      </c>
      <c r="C2" s="5">
        <f>SUMIFS(tbl_object_detail[金额],tbl_object_detail[对象],A2,tbl_object_detail[类型],"收入/调整")</f>
        <v>0</v>
      </c>
      <c r="D2" s="5">
        <f>SUMIFS(tbl_object_detail[金额],tbl_object_detail[对象],A2,tbl_object_detail[类型],"支出/费用")</f>
        <v>0</v>
      </c>
      <c r="E2" s="5">
        <f>B2+C2-D2</f>
        <v>0</v>
      </c>
      <c r="F2" s="5" cm="1">
        <f t="array" ref="F2">IFERROR(_xlfn.XLOOKUP(A2,tbl_object_snapshot[对象],tbl_object_snapshot[可分配余额]),"")</f>
        <v>0</v>
      </c>
      <c r="G2" s="5">
        <f>IF(F2="","",E2-F2)</f>
        <v>0</v>
      </c>
    </row>
    <row r="3" spans="1:7">
      <c r="A3" t="s">
        <v>21</v>
      </c>
      <c r="B3" s="5">
        <f>SUM(tbl_project[蒋家宁])</f>
        <v>0</v>
      </c>
      <c r="C3" s="5">
        <f>SUMIFS(tbl_object_detail[金额],tbl_object_detail[对象],A3,tbl_object_detail[类型],"收入/调整")</f>
        <v>0</v>
      </c>
      <c r="D3" s="5">
        <f>SUMIFS(tbl_object_detail[金额],tbl_object_detail[对象],A3,tbl_object_detail[类型],"支出/费用")</f>
        <v>0</v>
      </c>
      <c r="E3" s="5">
        <f>B3+C3-D3</f>
        <v>0</v>
      </c>
      <c r="F3" s="5" cm="1">
        <f t="array" ref="F3">IFERROR(_xlfn.XLOOKUP(A3,tbl_object_snapshot[对象],tbl_object_snapshot[可分配余额]),"")</f>
        <v>0</v>
      </c>
      <c r="G3" s="5">
        <f>IF(F3="","",E3-F3)</f>
        <v>0</v>
      </c>
    </row>
    <row r="4" spans="1:7">
      <c r="A4" t="s">
        <v>22</v>
      </c>
      <c r="B4" s="5">
        <f>SUM(tbl_project[朱潇潇/木雨])</f>
        <v>0</v>
      </c>
      <c r="C4" s="5">
        <f>SUMIFS(tbl_object_detail[金额],tbl_object_detail[对象],A4,tbl_object_detail[类型],"收入/调整")</f>
        <v>0</v>
      </c>
      <c r="D4" s="5">
        <f>SUMIFS(tbl_object_detail[金额],tbl_object_detail[对象],A4,tbl_object_detail[类型],"支出/费用")</f>
        <v>0</v>
      </c>
      <c r="E4" s="5">
        <f>B4+C4-D4</f>
        <v>0</v>
      </c>
      <c r="F4" s="5" cm="1">
        <f t="array" ref="F4">IFERROR(_xlfn.XLOOKUP(A4,tbl_object_snapshot[对象],tbl_object_snapshot[可分配余额]),"")</f>
        <v>0</v>
      </c>
      <c r="G4" s="5">
        <f>IF(F4="","",E4-F4)</f>
        <v>0</v>
      </c>
    </row>
    <row r="5" spans="1:7">
      <c r="A5" t="s">
        <v>23</v>
      </c>
      <c r="B5" s="5">
        <f>SUM(tbl_project[公共可支配])</f>
        <v>0</v>
      </c>
      <c r="C5" s="5">
        <f>SUMIFS(tbl_object_detail[金额],tbl_object_detail[对象],A5,tbl_object_detail[类型],"收入/调整")</f>
        <v>0</v>
      </c>
      <c r="D5" s="5">
        <f>SUMIFS(tbl_object_detail[金额],tbl_object_detail[对象],A5,tbl_object_detail[类型],"支出/费用")</f>
        <v>0</v>
      </c>
      <c r="E5" s="5">
        <f>B5+C5-D5</f>
        <v>0</v>
      </c>
      <c r="F5" s="5" cm="1">
        <f t="array" ref="F5">IFERROR(_xlfn.XLOOKUP(A5,tbl_object_snapshot[对象],tbl_object_snapshot[可分配余额]),"")</f>
        <v>0</v>
      </c>
      <c r="G5" s="5">
        <f>IF(F5="","",E5-F5)</f>
        <v>0</v>
      </c>
    </row>
    <row r="6" spans="1:7">
      <c r="A6" t="s">
        <v>24</v>
      </c>
      <c r="B6" s="5">
        <f>SUM(tbl_project[妹妹项目组])</f>
        <v>0</v>
      </c>
      <c r="C6" s="5">
        <f>SUMIFS(tbl_object_detail[金额],tbl_object_detail[对象],A6,tbl_object_detail[类型],"收入/调整")</f>
        <v>0</v>
      </c>
      <c r="D6" s="5">
        <f>SUMIFS(tbl_object_detail[金额],tbl_object_detail[对象],A6,tbl_object_detail[类型],"支出/费用")</f>
        <v>0</v>
      </c>
      <c r="E6" s="5">
        <f>B6+C6-D6</f>
        <v>0</v>
      </c>
      <c r="F6" s="5" cm="1">
        <f t="array" ref="F6">IFERROR(_xlfn.XLOOKUP(A6,tbl_object_snapshot[对象],tbl_object_snapshot[可分配余额]),"")</f>
        <v>0</v>
      </c>
      <c r="G6" s="5">
        <f>IF(F6="","",E6-F6)</f>
        <v>0</v>
      </c>
    </row>
    <row r="7" spans="1:7">
      <c r="A7" t="s">
        <v>25</v>
      </c>
      <c r="B7" s="5">
        <f>SUM(tbl_project[自研产品组])</f>
        <v>0</v>
      </c>
      <c r="C7" s="5">
        <f>SUMIFS(tbl_object_detail[金额],tbl_object_detail[对象],A7,tbl_object_detail[类型],"收入/调整")</f>
        <v>0</v>
      </c>
      <c r="D7" s="5">
        <f>SUMIFS(tbl_object_detail[金额],tbl_object_detail[对象],A7,tbl_object_detail[类型],"支出/费用")</f>
        <v>0</v>
      </c>
      <c r="E7" s="5">
        <f>B7+C7-D7</f>
        <v>0</v>
      </c>
      <c r="F7" s="5" cm="1">
        <f t="array" ref="F7">IFERROR(_xlfn.XLOOKUP(A7,tbl_object_snapshot[对象],tbl_object_snapshot[可分配余额]),"")</f>
        <v>0</v>
      </c>
      <c r="G7" s="5">
        <f>IF(F7="","",E7-F7)</f>
        <v>0</v>
      </c>
    </row>
    <row r="8" spans="1:7">
      <c r="A8" t="s">
        <v>26</v>
      </c>
      <c r="B8" s="5">
        <f>SUM(tbl_project[电商渠道组])</f>
        <v>0</v>
      </c>
      <c r="C8" s="5">
        <f>SUMIFS(tbl_object_detail[金额],tbl_object_detail[对象],A8,tbl_object_detail[类型],"收入/调整")</f>
        <v>0</v>
      </c>
      <c r="D8" s="5">
        <f>SUMIFS(tbl_object_detail[金额],tbl_object_detail[对象],A8,tbl_object_detail[类型],"支出/费用")</f>
        <v>0</v>
      </c>
      <c r="E8" s="5">
        <f>B8+C8-D8</f>
        <v>0</v>
      </c>
      <c r="F8" s="5" cm="1">
        <f t="array" ref="F8">IFERROR(_xlfn.XLOOKUP(A8,tbl_object_snapshot[对象],tbl_object_snapshot[可分配余额]),"")</f>
        <v>0</v>
      </c>
      <c r="G8" s="5">
        <f>IF(F8="","",E8-F8)</f>
        <v>0</v>
      </c>
    </row>
    <row r="9" spans="1:7">
      <c r="A9" t="s">
        <v>27</v>
      </c>
      <c r="B9" s="5">
        <f>SUM(tbl_project[AIGC组])</f>
        <v>0</v>
      </c>
      <c r="C9" s="5">
        <f>SUMIFS(tbl_object_detail[金额],tbl_object_detail[对象],A9,tbl_object_detail[类型],"收入/调整")</f>
        <v>0</v>
      </c>
      <c r="D9" s="5">
        <f>SUMIFS(tbl_object_detail[金额],tbl_object_detail[对象],A9,tbl_object_detail[类型],"支出/费用")</f>
        <v>0</v>
      </c>
      <c r="E9" s="5">
        <f>B9+C9-D9</f>
        <v>0</v>
      </c>
      <c r="F9" s="5" cm="1">
        <f t="array" ref="F9">IFERROR(_xlfn.XLOOKUP(A9,tbl_object_snapshot[对象],tbl_object_snapshot[可分配余额]),"")</f>
        <v>0</v>
      </c>
      <c r="G9" s="5">
        <f>IF(F9="","",E9-F9)</f>
        <v>0</v>
      </c>
    </row>
    <row r="10" spans="1:7">
      <c r="A10" t="s">
        <v>28</v>
      </c>
      <c r="B10" s="5"/>
      <c r="C10" s="5">
        <f>SUMIFS(tbl_object_detail[金额],tbl_object_detail[对象],A10,tbl_object_detail[类型],"收入/调整")</f>
        <v>0</v>
      </c>
      <c r="D10" s="5">
        <f>SUMIFS(tbl_object_detail[金额],tbl_object_detail[对象],A10,tbl_object_detail[类型],"支出/费用")</f>
        <v>0</v>
      </c>
      <c r="E10" s="5">
        <f>B10+C10-D10</f>
        <v>0</v>
      </c>
      <c r="F10" s="5" cm="1">
        <f t="array" ref="F10">IFERROR(_xlfn.XLOOKUP(A10,tbl_object_snapshot[对象],tbl_object_snapshot[可分配余额]),"")</f>
        <v>0</v>
      </c>
      <c r="G10" s="5">
        <f>IF(F10="","",E10-F10)</f>
        <v>0</v>
      </c>
    </row>
  </sheetData>
  <conditionalFormatting sqref="G2:G10">
    <cfRule type="cellIs" dxfId="0" priority="1" operator="notBetween">
      <formula>-0.01</formula>
      <formula>0.01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6"/>
  <sheetViews>
    <sheetView workbookViewId="0"/>
  </sheetViews>
  <sheetFormatPr defaultRowHeight="15"/>
  <cols>
    <col min="1" max="1" width="30.7109375" customWidth="1"/>
    <col min="2" max="2" width="16.7109375" customWidth="1"/>
    <col min="3" max="3" width="60.7109375" customWidth="1"/>
  </cols>
  <sheetData>
    <row r="1" spans="1:3">
      <c r="A1" s="2" t="s">
        <v>211</v>
      </c>
      <c r="B1" s="2" t="s">
        <v>212</v>
      </c>
      <c r="C1" s="2" t="s">
        <v>50</v>
      </c>
    </row>
    <row r="2" spans="1:3">
      <c r="A2" t="s">
        <v>213</v>
      </c>
      <c r="B2" s="5">
        <f>SUM(tbl_project[分配差额])</f>
        <v>0</v>
      </c>
      <c r="C2" t="s">
        <v>214</v>
      </c>
    </row>
    <row r="3" spans="1:3">
      <c r="A3" t="s">
        <v>215</v>
      </c>
      <c r="B3" s="5">
        <f>COUNTIF(tbl_project[分配差额],"&gt;0.01")+COUNTIF(tbl_project[分配差额],"&lt;-0.01")</f>
        <v>0</v>
      </c>
      <c r="C3" t="s">
        <v>216</v>
      </c>
    </row>
    <row r="4" spans="1:3">
      <c r="A4" t="s">
        <v>217</v>
      </c>
      <c r="B4" s="5">
        <f>SUMIFS(tbl_public[金额],tbl_public[口径],"实际扣款")</f>
        <v>0</v>
      </c>
      <c r="C4" t="s">
        <v>218</v>
      </c>
    </row>
    <row r="5" spans="1:3">
      <c r="A5" t="s">
        <v>219</v>
      </c>
      <c r="B5" s="5">
        <f>SUMIFS(tbl_public[金额],tbl_public[口径],"应支付")</f>
        <v>0</v>
      </c>
      <c r="C5" t="s">
        <v>220</v>
      </c>
    </row>
    <row r="6" spans="1:3">
      <c r="A6" t="s">
        <v>221</v>
      </c>
      <c r="B6" s="5">
        <f>SUM(tbl_cashflow[收入])-SUM(tbl_cashflow[支出])</f>
        <v>0</v>
      </c>
      <c r="C6" t="s">
        <v>222</v>
      </c>
    </row>
  </sheetData>
  <conditionalFormatting sqref="B2:B3">
    <cfRule type="cellIs" dxfId="0" priority="1" operator="notBetween">
      <formula>-0.01</formula>
      <formula>0.01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9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8.7109375" customWidth="1"/>
    <col min="2" max="2" width="12.7109375" style="7" customWidth="1"/>
    <col min="3" max="3" width="36.7109375" customWidth="1"/>
  </cols>
  <sheetData>
    <row r="1" spans="1:5">
      <c r="A1" t="s">
        <v>19</v>
      </c>
      <c r="B1" s="7" t="s">
        <v>223</v>
      </c>
      <c r="C1" t="s">
        <v>50</v>
      </c>
      <c r="E1" s="2" t="s">
        <v>225</v>
      </c>
    </row>
    <row r="2" spans="1:5">
      <c r="A2" t="s">
        <v>20</v>
      </c>
      <c r="B2" s="7">
        <v>0.2</v>
      </c>
      <c r="C2" t="s">
        <v>224</v>
      </c>
      <c r="E2" s="4" t="s">
        <v>226</v>
      </c>
    </row>
    <row r="3" spans="1:5">
      <c r="A3" t="s">
        <v>21</v>
      </c>
      <c r="B3" s="7">
        <v>0.2</v>
      </c>
      <c r="C3" t="s">
        <v>224</v>
      </c>
    </row>
    <row r="4" spans="1:5">
      <c r="A4" t="s">
        <v>22</v>
      </c>
      <c r="B4" s="7">
        <v>0.2</v>
      </c>
      <c r="C4" t="s">
        <v>224</v>
      </c>
    </row>
    <row r="5" spans="1:5">
      <c r="A5" t="s">
        <v>23</v>
      </c>
      <c r="B5" s="7">
        <v>0.4</v>
      </c>
      <c r="C5" t="s">
        <v>224</v>
      </c>
    </row>
    <row r="6" spans="1:5">
      <c r="A6" t="s">
        <v>24</v>
      </c>
      <c r="B6" s="7">
        <v>0</v>
      </c>
    </row>
    <row r="7" spans="1:5">
      <c r="A7" t="s">
        <v>25</v>
      </c>
      <c r="B7" s="7">
        <v>0</v>
      </c>
    </row>
    <row r="8" spans="1:5">
      <c r="A8" t="s">
        <v>26</v>
      </c>
      <c r="B8" s="7">
        <v>0</v>
      </c>
    </row>
    <row r="9" spans="1:5">
      <c r="A9" t="s">
        <v>27</v>
      </c>
      <c r="B9" s="7">
        <v>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>
  <dimension ref="A1:AN1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40" width="14.7109375" customWidth="1"/>
  </cols>
  <sheetData>
    <row r="1" spans="1:40">
      <c r="C1" t="s">
        <v>1</v>
      </c>
      <c r="G1" t="s">
        <v>2</v>
      </c>
      <c r="J1" t="s">
        <v>3</v>
      </c>
      <c r="M1" t="s">
        <v>4</v>
      </c>
      <c r="P1" t="s">
        <v>5</v>
      </c>
      <c r="S1" t="s">
        <v>6</v>
      </c>
      <c r="V1" t="s">
        <v>7</v>
      </c>
      <c r="Y1" t="s">
        <v>8</v>
      </c>
      <c r="AC1" t="s">
        <v>9</v>
      </c>
    </row>
    <row r="2" spans="1:40">
      <c r="A2" t="s">
        <v>227</v>
      </c>
      <c r="B2" t="s">
        <v>228</v>
      </c>
      <c r="C2" t="s">
        <v>13</v>
      </c>
      <c r="F2" t="s">
        <v>229</v>
      </c>
      <c r="G2" t="s">
        <v>73</v>
      </c>
      <c r="I2" t="s">
        <v>230</v>
      </c>
      <c r="J2" t="s">
        <v>75</v>
      </c>
      <c r="L2" t="s">
        <v>231</v>
      </c>
      <c r="M2" t="s">
        <v>76</v>
      </c>
      <c r="O2" t="s">
        <v>232</v>
      </c>
      <c r="R2" t="s">
        <v>233</v>
      </c>
      <c r="U2" t="s">
        <v>234</v>
      </c>
      <c r="X2" t="s">
        <v>235</v>
      </c>
      <c r="AB2" t="s">
        <v>236</v>
      </c>
      <c r="AE2" t="s">
        <v>237</v>
      </c>
      <c r="AH2" t="s">
        <v>238</v>
      </c>
      <c r="AK2" t="s">
        <v>239</v>
      </c>
      <c r="AN2" t="s">
        <v>240</v>
      </c>
    </row>
    <row r="3" spans="1:40">
      <c r="A3" t="s">
        <v>241</v>
      </c>
      <c r="B3">
        <v>1380000</v>
      </c>
      <c r="C3">
        <v>0</v>
      </c>
      <c r="D3">
        <v>0</v>
      </c>
      <c r="E3">
        <v>0</v>
      </c>
      <c r="F3">
        <v>0</v>
      </c>
      <c r="G3">
        <v>24000</v>
      </c>
      <c r="H3">
        <v>0</v>
      </c>
      <c r="I3">
        <v>24000</v>
      </c>
      <c r="J3">
        <v>56000</v>
      </c>
      <c r="K3">
        <v>0</v>
      </c>
      <c r="L3">
        <v>56000</v>
      </c>
      <c r="M3">
        <v>1300000</v>
      </c>
      <c r="N3">
        <v>0</v>
      </c>
      <c r="O3">
        <v>1300000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</row>
    <row r="4" spans="1:40">
      <c r="A4" t="s">
        <v>16</v>
      </c>
      <c r="B4">
        <v>1380000</v>
      </c>
      <c r="F4">
        <v>0</v>
      </c>
      <c r="G4">
        <v>24000</v>
      </c>
      <c r="I4">
        <v>24000</v>
      </c>
      <c r="J4">
        <v>56000</v>
      </c>
      <c r="L4">
        <v>56000</v>
      </c>
      <c r="M4">
        <v>1300000</v>
      </c>
      <c r="O4">
        <v>1300000</v>
      </c>
      <c r="R4">
        <v>0</v>
      </c>
      <c r="U4">
        <v>0</v>
      </c>
      <c r="X4">
        <v>0</v>
      </c>
      <c r="AB4">
        <v>0</v>
      </c>
      <c r="AE4">
        <v>0</v>
      </c>
      <c r="AH4">
        <v>0</v>
      </c>
      <c r="AK4">
        <v>0</v>
      </c>
      <c r="AN4">
        <v>0</v>
      </c>
    </row>
    <row r="5" spans="1:40">
      <c r="A5" t="s">
        <v>64</v>
      </c>
      <c r="B5">
        <v>0</v>
      </c>
      <c r="F5">
        <v>0</v>
      </c>
      <c r="I5">
        <v>0</v>
      </c>
      <c r="L5">
        <v>0</v>
      </c>
      <c r="O5">
        <v>0</v>
      </c>
      <c r="R5">
        <v>0</v>
      </c>
      <c r="U5">
        <v>0</v>
      </c>
      <c r="X5">
        <v>0</v>
      </c>
      <c r="AB5">
        <v>0</v>
      </c>
      <c r="AE5">
        <v>0</v>
      </c>
      <c r="AH5">
        <v>0</v>
      </c>
      <c r="AK5">
        <v>0</v>
      </c>
      <c r="AN5">
        <v>0</v>
      </c>
    </row>
    <row r="6" spans="1:40">
      <c r="A6" t="s">
        <v>242</v>
      </c>
      <c r="B6">
        <v>0</v>
      </c>
      <c r="F6">
        <v>0</v>
      </c>
      <c r="I6">
        <v>0</v>
      </c>
      <c r="L6">
        <v>0</v>
      </c>
      <c r="O6">
        <v>0</v>
      </c>
      <c r="R6">
        <v>0</v>
      </c>
      <c r="U6">
        <v>0</v>
      </c>
      <c r="X6">
        <v>0</v>
      </c>
      <c r="AB6">
        <v>0</v>
      </c>
      <c r="AE6">
        <v>0</v>
      </c>
      <c r="AH6">
        <v>0</v>
      </c>
      <c r="AK6">
        <v>0</v>
      </c>
      <c r="AN6">
        <v>0</v>
      </c>
    </row>
    <row r="7" spans="1:40">
      <c r="A7" t="s">
        <v>66</v>
      </c>
      <c r="B7">
        <v>1380000</v>
      </c>
      <c r="C7">
        <v>0</v>
      </c>
      <c r="D7">
        <v>0</v>
      </c>
      <c r="E7">
        <v>0</v>
      </c>
      <c r="F7">
        <v>0</v>
      </c>
      <c r="G7">
        <v>24000</v>
      </c>
      <c r="H7">
        <v>0</v>
      </c>
      <c r="I7">
        <v>24000</v>
      </c>
      <c r="J7">
        <v>56000</v>
      </c>
      <c r="K7">
        <v>0</v>
      </c>
      <c r="L7">
        <v>56000</v>
      </c>
      <c r="M7">
        <v>1300000</v>
      </c>
      <c r="N7">
        <v>0</v>
      </c>
      <c r="O7">
        <v>1300000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</row>
    <row r="8" spans="1:40">
      <c r="A8" t="s">
        <v>20</v>
      </c>
      <c r="B8">
        <v>320506.77</v>
      </c>
      <c r="C8">
        <v>190506.77</v>
      </c>
      <c r="F8">
        <v>190506.77</v>
      </c>
      <c r="G8">
        <v>0</v>
      </c>
      <c r="I8">
        <v>0</v>
      </c>
      <c r="J8">
        <v>20000</v>
      </c>
      <c r="L8">
        <v>20000</v>
      </c>
      <c r="M8">
        <v>110000</v>
      </c>
      <c r="O8">
        <v>110000</v>
      </c>
      <c r="R8">
        <v>0</v>
      </c>
      <c r="U8">
        <v>0</v>
      </c>
      <c r="X8">
        <v>0</v>
      </c>
      <c r="Y8">
        <v>0</v>
      </c>
      <c r="AB8">
        <v>0</v>
      </c>
      <c r="AE8">
        <v>0</v>
      </c>
      <c r="AH8">
        <v>0</v>
      </c>
      <c r="AK8">
        <v>0</v>
      </c>
      <c r="AN8">
        <v>0</v>
      </c>
    </row>
    <row r="9" spans="1:40">
      <c r="A9" t="s">
        <v>21</v>
      </c>
      <c r="B9">
        <v>193588.455</v>
      </c>
      <c r="C9">
        <v>73588.455</v>
      </c>
      <c r="F9">
        <v>73588.455</v>
      </c>
      <c r="G9">
        <v>4000</v>
      </c>
      <c r="I9">
        <v>4000</v>
      </c>
      <c r="J9">
        <v>16000</v>
      </c>
      <c r="L9">
        <v>16000</v>
      </c>
      <c r="M9">
        <v>100000</v>
      </c>
      <c r="O9">
        <v>100000</v>
      </c>
      <c r="R9">
        <v>0</v>
      </c>
      <c r="U9">
        <v>0</v>
      </c>
      <c r="X9">
        <v>0</v>
      </c>
      <c r="Y9">
        <v>0</v>
      </c>
      <c r="AB9">
        <v>0</v>
      </c>
      <c r="AE9">
        <v>0</v>
      </c>
      <c r="AH9">
        <v>0</v>
      </c>
      <c r="AK9">
        <v>0</v>
      </c>
      <c r="AN9">
        <v>0</v>
      </c>
    </row>
    <row r="10" spans="1:40">
      <c r="A10" t="s">
        <v>243</v>
      </c>
      <c r="B10">
        <v>2628346.995</v>
      </c>
      <c r="C10">
        <v>1648346.995</v>
      </c>
      <c r="F10">
        <v>1648346.995</v>
      </c>
      <c r="G10">
        <v>0</v>
      </c>
      <c r="I10">
        <v>0</v>
      </c>
      <c r="J10">
        <v>20000</v>
      </c>
      <c r="L10">
        <v>20000</v>
      </c>
      <c r="M10">
        <v>960000</v>
      </c>
      <c r="O10">
        <v>960000</v>
      </c>
      <c r="R10">
        <v>0</v>
      </c>
      <c r="U10">
        <v>0</v>
      </c>
      <c r="X10">
        <v>0</v>
      </c>
      <c r="Y10">
        <v>0</v>
      </c>
      <c r="AB10">
        <v>0</v>
      </c>
      <c r="AE10">
        <v>0</v>
      </c>
      <c r="AH10">
        <v>0</v>
      </c>
      <c r="AK10">
        <v>0</v>
      </c>
      <c r="AN10">
        <v>0</v>
      </c>
    </row>
    <row r="11" spans="1:40">
      <c r="A11" t="s">
        <v>23</v>
      </c>
      <c r="B11">
        <v>315889.510625</v>
      </c>
      <c r="C11">
        <v>285889.510625</v>
      </c>
      <c r="F11">
        <v>285889.510625</v>
      </c>
      <c r="G11">
        <v>20000</v>
      </c>
      <c r="I11">
        <v>20000</v>
      </c>
      <c r="J11">
        <v>0</v>
      </c>
      <c r="L11">
        <v>0</v>
      </c>
      <c r="M11">
        <v>10000</v>
      </c>
      <c r="O11">
        <v>10000</v>
      </c>
      <c r="R11">
        <v>0</v>
      </c>
      <c r="U11">
        <v>0</v>
      </c>
      <c r="X11">
        <v>0</v>
      </c>
      <c r="Y11">
        <v>0</v>
      </c>
      <c r="AB11">
        <v>0</v>
      </c>
      <c r="AE11">
        <v>0</v>
      </c>
      <c r="AH11">
        <v>0</v>
      </c>
      <c r="AK11">
        <v>0</v>
      </c>
      <c r="AN11">
        <v>0</v>
      </c>
    </row>
    <row r="12" spans="1:40">
      <c r="A12" t="s">
        <v>24</v>
      </c>
      <c r="B12">
        <v>0</v>
      </c>
      <c r="I12">
        <v>0</v>
      </c>
      <c r="L12">
        <v>0</v>
      </c>
      <c r="M12">
        <v>0</v>
      </c>
      <c r="O12">
        <v>0</v>
      </c>
    </row>
    <row r="13" spans="1:40">
      <c r="A13" t="s">
        <v>25</v>
      </c>
      <c r="B13">
        <v>120000</v>
      </c>
      <c r="I13">
        <v>0</v>
      </c>
      <c r="L13">
        <v>0</v>
      </c>
      <c r="M13">
        <v>120000</v>
      </c>
      <c r="O13">
        <v>120000</v>
      </c>
      <c r="R13">
        <v>0</v>
      </c>
      <c r="U13">
        <v>0</v>
      </c>
      <c r="X13">
        <v>0</v>
      </c>
      <c r="AE13">
        <v>0</v>
      </c>
      <c r="AH13">
        <v>0</v>
      </c>
      <c r="AK13">
        <v>0</v>
      </c>
      <c r="AN13">
        <v>0</v>
      </c>
    </row>
    <row r="14" spans="1:40">
      <c r="A14" t="s">
        <v>26</v>
      </c>
      <c r="B14">
        <v>0</v>
      </c>
      <c r="I14">
        <v>0</v>
      </c>
      <c r="L14">
        <v>0</v>
      </c>
      <c r="M14">
        <v>0</v>
      </c>
      <c r="O14">
        <v>0</v>
      </c>
      <c r="R14">
        <v>0</v>
      </c>
      <c r="U14">
        <v>0</v>
      </c>
      <c r="X14">
        <v>0</v>
      </c>
      <c r="AE14">
        <v>0</v>
      </c>
      <c r="AH14">
        <v>0</v>
      </c>
      <c r="AK14">
        <v>0</v>
      </c>
      <c r="AN14">
        <v>0</v>
      </c>
    </row>
    <row r="15" spans="1:40">
      <c r="A15" t="s">
        <v>27</v>
      </c>
      <c r="B15">
        <v>0</v>
      </c>
      <c r="I15">
        <v>0</v>
      </c>
      <c r="L15">
        <v>0</v>
      </c>
      <c r="M15">
        <v>0</v>
      </c>
      <c r="O15">
        <v>0</v>
      </c>
      <c r="R15">
        <v>0</v>
      </c>
      <c r="U15">
        <v>0</v>
      </c>
      <c r="X15">
        <v>0</v>
      </c>
      <c r="AE15">
        <v>0</v>
      </c>
      <c r="AH15">
        <v>0</v>
      </c>
      <c r="AK15">
        <v>0</v>
      </c>
      <c r="AN15">
        <v>0</v>
      </c>
    </row>
    <row r="16" spans="1:40">
      <c r="A16" t="s">
        <v>244</v>
      </c>
      <c r="B16">
        <v>3578331.730625</v>
      </c>
      <c r="C16">
        <v>2198331.730625</v>
      </c>
      <c r="D16">
        <v>0</v>
      </c>
      <c r="E16">
        <v>0</v>
      </c>
      <c r="F16">
        <v>2198331.730625</v>
      </c>
      <c r="G16">
        <v>24000</v>
      </c>
      <c r="H16">
        <v>0</v>
      </c>
      <c r="I16">
        <v>24000</v>
      </c>
      <c r="J16">
        <v>56000</v>
      </c>
      <c r="K16">
        <v>0</v>
      </c>
      <c r="L16">
        <v>56000</v>
      </c>
      <c r="M16">
        <v>1300000</v>
      </c>
      <c r="N16">
        <v>0</v>
      </c>
      <c r="O16">
        <v>1300000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2:N3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2" spans="1:14">
      <c r="A2" t="s">
        <v>227</v>
      </c>
      <c r="B2" t="s">
        <v>228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</row>
    <row r="3" spans="1:14">
      <c r="A3" t="s">
        <v>245</v>
      </c>
      <c r="B3">
        <v>315889.510625</v>
      </c>
      <c r="C3">
        <v>285889.510625</v>
      </c>
      <c r="D3">
        <v>20000</v>
      </c>
      <c r="E3">
        <v>0</v>
      </c>
      <c r="F3">
        <v>10000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</row>
    <row r="4" spans="1:14">
      <c r="A4" t="s">
        <v>246</v>
      </c>
      <c r="B4">
        <v>495840.547206896</v>
      </c>
      <c r="C4">
        <v>35432.95</v>
      </c>
      <c r="D4">
        <v>122511.84</v>
      </c>
      <c r="E4">
        <v>10451.28</v>
      </c>
      <c r="F4">
        <v>7989.66</v>
      </c>
      <c r="G4">
        <v>233004.4122635</v>
      </c>
      <c r="H4">
        <v>86450.40494339621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80</v>
      </c>
      <c r="B5">
        <v>197753.007358491</v>
      </c>
      <c r="D5">
        <v>112858.74</v>
      </c>
      <c r="G5">
        <v>73233.89</v>
      </c>
      <c r="H5">
        <v>11660.3773584906</v>
      </c>
    </row>
    <row r="6" spans="1:14">
      <c r="A6" t="s">
        <v>82</v>
      </c>
      <c r="B6">
        <v>11844.3026415094</v>
      </c>
      <c r="D6">
        <v>6750.65</v>
      </c>
      <c r="G6">
        <v>4394.03</v>
      </c>
      <c r="H6">
        <v>699.6226415094339</v>
      </c>
    </row>
    <row r="7" spans="1:14">
      <c r="A7" t="s">
        <v>83</v>
      </c>
      <c r="B7">
        <v>1104.62320689623</v>
      </c>
      <c r="F7">
        <v>891.51</v>
      </c>
      <c r="G7">
        <v>183.9622635</v>
      </c>
      <c r="H7">
        <v>29.1509433962264</v>
      </c>
    </row>
    <row r="8" spans="1:14">
      <c r="A8" t="s">
        <v>84</v>
      </c>
      <c r="B8">
        <v>74061.254</v>
      </c>
      <c r="H8">
        <v>74061.254</v>
      </c>
    </row>
    <row r="9" spans="1:14">
      <c r="A9" t="s">
        <v>37</v>
      </c>
      <c r="B9">
        <v>109980.8</v>
      </c>
      <c r="F9">
        <v>-19.2</v>
      </c>
      <c r="G9">
        <v>110000</v>
      </c>
    </row>
    <row r="10" spans="1:14">
      <c r="A10" t="s">
        <v>247</v>
      </c>
      <c r="B10">
        <v>394743.987206896</v>
      </c>
      <c r="C10">
        <v>0</v>
      </c>
      <c r="D10">
        <v>119609.39</v>
      </c>
      <c r="E10">
        <v>0</v>
      </c>
      <c r="F10">
        <v>872.3099999999999</v>
      </c>
      <c r="G10">
        <v>187811.8822635</v>
      </c>
      <c r="H10">
        <v>86450.40494339621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  <row r="11" spans="1:14">
      <c r="A11" t="s">
        <v>85</v>
      </c>
      <c r="B11">
        <v>10000</v>
      </c>
      <c r="C11">
        <v>4000</v>
      </c>
      <c r="D11">
        <v>2000</v>
      </c>
      <c r="E11">
        <v>2000</v>
      </c>
      <c r="F11">
        <v>2000</v>
      </c>
    </row>
    <row r="12" spans="1:14">
      <c r="A12" t="s">
        <v>248</v>
      </c>
      <c r="B12">
        <v>0</v>
      </c>
    </row>
    <row r="13" spans="1:14">
      <c r="A13" t="s">
        <v>249</v>
      </c>
      <c r="B13">
        <v>0</v>
      </c>
      <c r="C13">
        <v>0</v>
      </c>
      <c r="D13">
        <v>0</v>
      </c>
      <c r="E13">
        <v>0</v>
      </c>
    </row>
    <row r="14" spans="1:14">
      <c r="A14" t="s">
        <v>86</v>
      </c>
      <c r="B14">
        <v>29800</v>
      </c>
      <c r="C14">
        <v>29800</v>
      </c>
      <c r="D14">
        <v>0</v>
      </c>
      <c r="E14">
        <v>0</v>
      </c>
    </row>
    <row r="15" spans="1:14">
      <c r="A15" t="s">
        <v>87</v>
      </c>
      <c r="B15">
        <v>1600</v>
      </c>
      <c r="C15">
        <v>1600</v>
      </c>
    </row>
    <row r="16" spans="1:14">
      <c r="A16" t="s">
        <v>250</v>
      </c>
      <c r="B16">
        <v>41400</v>
      </c>
      <c r="C16">
        <v>35400</v>
      </c>
      <c r="D16">
        <v>2000</v>
      </c>
      <c r="E16">
        <v>2000</v>
      </c>
      <c r="F16">
        <v>2000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</row>
    <row r="17" spans="1:14">
      <c r="A17" t="s">
        <v>88</v>
      </c>
      <c r="B17">
        <v>17651.71</v>
      </c>
      <c r="E17">
        <v>3426.44</v>
      </c>
      <c r="F17">
        <v>2752</v>
      </c>
      <c r="G17">
        <v>11473.27</v>
      </c>
    </row>
    <row r="18" spans="1:14">
      <c r="A18" t="s">
        <v>89</v>
      </c>
      <c r="B18">
        <v>1657</v>
      </c>
      <c r="G18">
        <v>1657</v>
      </c>
    </row>
    <row r="19" spans="1:14">
      <c r="A19" t="s">
        <v>90</v>
      </c>
      <c r="B19">
        <v>3542.55</v>
      </c>
      <c r="D19">
        <v>867.2</v>
      </c>
      <c r="F19">
        <v>2338.35</v>
      </c>
      <c r="G19">
        <v>337</v>
      </c>
    </row>
    <row r="20" spans="1:14">
      <c r="A20" t="s">
        <v>91</v>
      </c>
      <c r="B20">
        <v>36896.7</v>
      </c>
      <c r="E20">
        <v>5199</v>
      </c>
      <c r="G20">
        <v>31697.7</v>
      </c>
    </row>
    <row r="21" spans="1:14">
      <c r="A21" t="s">
        <v>92</v>
      </c>
      <c r="B21">
        <v>-51.4</v>
      </c>
      <c r="C21">
        <v>32.95</v>
      </c>
      <c r="D21">
        <v>35.25</v>
      </c>
      <c r="E21">
        <v>-174.16</v>
      </c>
      <c r="F21">
        <v>27</v>
      </c>
      <c r="G21">
        <v>27.56</v>
      </c>
    </row>
    <row r="22" spans="1:14">
      <c r="A22" t="s">
        <v>251</v>
      </c>
      <c r="B22">
        <v>59696.56</v>
      </c>
      <c r="C22">
        <v>32.95</v>
      </c>
      <c r="D22">
        <v>902.45</v>
      </c>
      <c r="E22">
        <v>8451.280000000001</v>
      </c>
      <c r="F22">
        <v>5117.35</v>
      </c>
      <c r="G22">
        <v>45192.53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</row>
    <row r="23" spans="1:14">
      <c r="A23" t="s">
        <v>252</v>
      </c>
      <c r="B23">
        <v>-179951.036581896</v>
      </c>
      <c r="C23">
        <v>250456.560625</v>
      </c>
      <c r="D23">
        <v>-102511.84</v>
      </c>
      <c r="E23">
        <v>-10451.28</v>
      </c>
      <c r="F23">
        <v>2010.34</v>
      </c>
      <c r="G23">
        <v>-233004.4122635</v>
      </c>
      <c r="H23">
        <v>-86450.40494339621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</row>
    <row r="27" spans="1:14">
      <c r="A27" t="s">
        <v>253</v>
      </c>
      <c r="B27">
        <v>88.93000000000031</v>
      </c>
      <c r="F27" t="s">
        <v>254</v>
      </c>
      <c r="G27" t="s">
        <v>255</v>
      </c>
      <c r="H27" t="s">
        <v>228</v>
      </c>
    </row>
    <row r="28" spans="1:14">
      <c r="A28" t="s">
        <v>256</v>
      </c>
      <c r="B28">
        <v>7370.5</v>
      </c>
      <c r="E28" t="s">
        <v>257</v>
      </c>
      <c r="F28">
        <v>-179951.036581896</v>
      </c>
      <c r="H28">
        <v>-179951.036581896</v>
      </c>
    </row>
    <row r="29" spans="1:14">
      <c r="A29" t="s">
        <v>258</v>
      </c>
      <c r="B29">
        <v>-150</v>
      </c>
      <c r="E29" t="s">
        <v>259</v>
      </c>
      <c r="F29">
        <v>163911.53</v>
      </c>
      <c r="G29">
        <v>104960</v>
      </c>
      <c r="H29">
        <v>268871.53</v>
      </c>
    </row>
    <row r="30" spans="1:14">
      <c r="A30" t="s">
        <v>260</v>
      </c>
      <c r="B30">
        <v>205820.62</v>
      </c>
      <c r="E30" t="s">
        <v>261</v>
      </c>
      <c r="F30">
        <v>136683.475</v>
      </c>
      <c r="H30">
        <v>136683.475</v>
      </c>
    </row>
    <row r="31" spans="1:14">
      <c r="A31" t="s">
        <v>262</v>
      </c>
      <c r="B31">
        <v>-150</v>
      </c>
      <c r="E31" t="s">
        <v>263</v>
      </c>
      <c r="F31">
        <v>1415757.405</v>
      </c>
      <c r="G31">
        <v>54450.64</v>
      </c>
      <c r="H31">
        <v>1470208.045</v>
      </c>
      <c r="J31" t="s">
        <v>264</v>
      </c>
      <c r="K31" t="s">
        <v>265</v>
      </c>
    </row>
    <row r="32" spans="1:14">
      <c r="A32" t="s">
        <v>266</v>
      </c>
      <c r="B32">
        <v>-150</v>
      </c>
      <c r="E32" t="s">
        <v>267</v>
      </c>
      <c r="F32">
        <v>110663.69</v>
      </c>
      <c r="H32">
        <v>110663.69</v>
      </c>
      <c r="J32">
        <v>1861240.28</v>
      </c>
      <c r="K32">
        <v>80000</v>
      </c>
      <c r="L32">
        <v>1941240.28</v>
      </c>
    </row>
    <row r="33" spans="1:12">
      <c r="A33" t="s">
        <v>268</v>
      </c>
      <c r="B33">
        <v>-369.05</v>
      </c>
      <c r="E33" t="s">
        <v>25</v>
      </c>
      <c r="F33">
        <v>54153.31</v>
      </c>
      <c r="H33">
        <v>54153.31</v>
      </c>
    </row>
    <row r="34" spans="1:12">
      <c r="A34" t="s">
        <v>269</v>
      </c>
      <c r="E34" t="s">
        <v>26</v>
      </c>
      <c r="F34">
        <v>0</v>
      </c>
      <c r="H34">
        <v>0</v>
      </c>
      <c r="L34">
        <v>86634.3665818966</v>
      </c>
    </row>
    <row r="35" spans="1:12">
      <c r="A35" t="s">
        <v>270</v>
      </c>
      <c r="B35">
        <v>32509.9634181038</v>
      </c>
      <c r="E35" t="s">
        <v>27</v>
      </c>
      <c r="F35">
        <v>-5994.6</v>
      </c>
      <c r="H35">
        <v>-5994.6</v>
      </c>
    </row>
    <row r="36" spans="1:12">
      <c r="E36" t="s">
        <v>36</v>
      </c>
      <c r="F36">
        <v>1695223.7734181</v>
      </c>
      <c r="G36">
        <v>159410.64</v>
      </c>
      <c r="H36">
        <v>1854634.4134181</v>
      </c>
    </row>
    <row r="37" spans="1:12">
      <c r="E37" t="s">
        <v>271</v>
      </c>
      <c r="H37">
        <v>132461</v>
      </c>
    </row>
    <row r="38" spans="1:12">
      <c r="E38" t="s">
        <v>244</v>
      </c>
      <c r="H38">
        <v>1987095.4134181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M2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3" width="14.7109375" customWidth="1"/>
  </cols>
  <sheetData>
    <row r="1" spans="1:13">
      <c r="C1" t="s">
        <v>272</v>
      </c>
    </row>
    <row r="2" spans="1:13">
      <c r="A2" t="s">
        <v>227</v>
      </c>
      <c r="B2" t="s">
        <v>228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</row>
    <row r="3" spans="1:13">
      <c r="A3" t="s">
        <v>245</v>
      </c>
      <c r="B3">
        <v>445889.510625</v>
      </c>
      <c r="C3">
        <v>285889.510625</v>
      </c>
      <c r="D3">
        <v>0</v>
      </c>
      <c r="E3">
        <v>10000</v>
      </c>
      <c r="F3">
        <v>150000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</row>
    <row r="4" spans="1:13">
      <c r="A4" t="s">
        <v>246</v>
      </c>
      <c r="B4">
        <v>278921.06</v>
      </c>
      <c r="C4">
        <v>170936.5</v>
      </c>
      <c r="D4">
        <v>26460.49</v>
      </c>
      <c r="E4">
        <v>81524.07000000001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</row>
    <row r="5" spans="1:13">
      <c r="A5" t="s">
        <v>80</v>
      </c>
      <c r="B5">
        <v>85047.1698113208</v>
      </c>
      <c r="C5">
        <v>85047.1698113208</v>
      </c>
    </row>
    <row r="6" spans="1:13">
      <c r="A6" t="s">
        <v>82</v>
      </c>
      <c r="B6">
        <v>5102.83018867925</v>
      </c>
      <c r="C6">
        <v>5102.83018867925</v>
      </c>
    </row>
    <row r="7" spans="1:13">
      <c r="A7" t="s">
        <v>83</v>
      </c>
      <c r="B7">
        <v>961.5</v>
      </c>
      <c r="C7">
        <v>961.5</v>
      </c>
    </row>
    <row r="8" spans="1:13">
      <c r="A8" t="s">
        <v>84</v>
      </c>
      <c r="B8">
        <v>0</v>
      </c>
    </row>
    <row r="9" spans="1:13">
      <c r="A9" t="s">
        <v>37</v>
      </c>
      <c r="B9">
        <v>64000</v>
      </c>
      <c r="E9">
        <v>64000</v>
      </c>
    </row>
    <row r="10" spans="1:13">
      <c r="A10" t="s">
        <v>247</v>
      </c>
      <c r="B10">
        <v>155111.5</v>
      </c>
      <c r="C10">
        <v>91111.5</v>
      </c>
      <c r="D10">
        <v>0</v>
      </c>
      <c r="E10">
        <v>64000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</row>
    <row r="11" spans="1:13">
      <c r="A11" t="s">
        <v>85</v>
      </c>
      <c r="B11">
        <v>6000</v>
      </c>
      <c r="C11">
        <v>2000</v>
      </c>
      <c r="D11">
        <v>2000</v>
      </c>
      <c r="E11">
        <v>2000</v>
      </c>
    </row>
    <row r="12" spans="1:13">
      <c r="A12" t="s">
        <v>94</v>
      </c>
      <c r="B12">
        <v>32020</v>
      </c>
      <c r="D12">
        <v>16010</v>
      </c>
      <c r="E12">
        <v>16010</v>
      </c>
    </row>
    <row r="13" spans="1:13">
      <c r="A13" t="s">
        <v>249</v>
      </c>
      <c r="B13">
        <v>0</v>
      </c>
    </row>
    <row r="14" spans="1:13">
      <c r="A14" t="s">
        <v>86</v>
      </c>
      <c r="B14">
        <v>29800</v>
      </c>
      <c r="C14">
        <v>29800</v>
      </c>
    </row>
    <row r="15" spans="1:13">
      <c r="A15" t="s">
        <v>87</v>
      </c>
      <c r="B15">
        <v>48000</v>
      </c>
      <c r="C15">
        <v>48000</v>
      </c>
    </row>
    <row r="16" spans="1:13">
      <c r="A16" t="s">
        <v>250</v>
      </c>
      <c r="B16">
        <v>115820</v>
      </c>
      <c r="C16">
        <v>79800</v>
      </c>
      <c r="D16">
        <v>18010</v>
      </c>
      <c r="E16">
        <v>18010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</row>
    <row r="17" spans="1:13">
      <c r="A17" t="s">
        <v>88</v>
      </c>
      <c r="B17">
        <v>8400</v>
      </c>
      <c r="D17">
        <v>8400</v>
      </c>
    </row>
    <row r="18" spans="1:13">
      <c r="A18" t="s">
        <v>273</v>
      </c>
      <c r="B18">
        <v>0</v>
      </c>
    </row>
    <row r="19" spans="1:13">
      <c r="A19" t="s">
        <v>91</v>
      </c>
      <c r="B19">
        <v>0</v>
      </c>
    </row>
    <row r="20" spans="1:13">
      <c r="A20" t="s">
        <v>92</v>
      </c>
      <c r="B20">
        <v>-410.44</v>
      </c>
      <c r="C20">
        <v>25</v>
      </c>
      <c r="D20">
        <v>50.49</v>
      </c>
      <c r="E20">
        <v>-485.93</v>
      </c>
    </row>
    <row r="21" spans="1:13">
      <c r="A21" t="s">
        <v>87</v>
      </c>
      <c r="B21">
        <v>0</v>
      </c>
    </row>
    <row r="22" spans="1:13">
      <c r="A22" t="s">
        <v>251</v>
      </c>
      <c r="B22">
        <v>7989.56</v>
      </c>
      <c r="C22">
        <v>25</v>
      </c>
      <c r="D22">
        <v>8450.49</v>
      </c>
      <c r="E22">
        <v>-485.93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</row>
    <row r="23" spans="1:13">
      <c r="A23" t="s">
        <v>252</v>
      </c>
      <c r="B23">
        <v>166968.450625</v>
      </c>
      <c r="C23">
        <v>114953.010625</v>
      </c>
      <c r="D23">
        <v>-26460.49</v>
      </c>
      <c r="E23">
        <v>-71524.07000000001</v>
      </c>
      <c r="F23">
        <v>150000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1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6" width="14.7109375" customWidth="1"/>
  </cols>
  <sheetData>
    <row r="1" spans="1:16">
      <c r="A1" t="s">
        <v>274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6">
      <c r="A2" t="s">
        <v>275</v>
      </c>
      <c r="B2">
        <v>320506.77</v>
      </c>
      <c r="C2">
        <v>190506.77</v>
      </c>
      <c r="D2">
        <v>0</v>
      </c>
      <c r="E2">
        <v>20000</v>
      </c>
      <c r="F2">
        <v>110000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6">
      <c r="A3" t="s">
        <v>97</v>
      </c>
      <c r="B3">
        <v>66123.75</v>
      </c>
      <c r="C3">
        <v>-474.84</v>
      </c>
      <c r="E3">
        <v>-200</v>
      </c>
      <c r="F3">
        <v>44700</v>
      </c>
      <c r="G3">
        <v>22098.59</v>
      </c>
      <c r="P3">
        <v>2123.75</v>
      </c>
    </row>
    <row r="4" spans="1:16">
      <c r="A4" t="s">
        <v>276</v>
      </c>
      <c r="B4">
        <v>386630.52</v>
      </c>
      <c r="C4">
        <v>190031.93</v>
      </c>
      <c r="D4">
        <v>0</v>
      </c>
      <c r="E4">
        <v>19800</v>
      </c>
      <c r="F4">
        <v>154700</v>
      </c>
      <c r="G4">
        <v>22098.59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6">
      <c r="A5" t="s">
        <v>277</v>
      </c>
      <c r="B5">
        <v>222718.99</v>
      </c>
      <c r="C5">
        <v>13820</v>
      </c>
      <c r="D5">
        <v>27609.47</v>
      </c>
      <c r="E5">
        <v>58209.62</v>
      </c>
      <c r="F5">
        <v>17332.9</v>
      </c>
      <c r="G5">
        <v>13907</v>
      </c>
      <c r="H5">
        <v>13120</v>
      </c>
      <c r="I5">
        <v>13120</v>
      </c>
      <c r="J5">
        <v>13120</v>
      </c>
      <c r="K5">
        <v>13120</v>
      </c>
      <c r="L5">
        <v>13120</v>
      </c>
      <c r="M5">
        <v>13120</v>
      </c>
      <c r="N5">
        <v>13120</v>
      </c>
    </row>
    <row r="6" spans="1:16">
      <c r="A6" t="s">
        <v>44</v>
      </c>
      <c r="B6">
        <v>124500</v>
      </c>
      <c r="C6">
        <v>10000</v>
      </c>
      <c r="D6">
        <v>10000</v>
      </c>
      <c r="E6">
        <v>10000</v>
      </c>
      <c r="F6">
        <v>10500</v>
      </c>
      <c r="G6">
        <v>10500</v>
      </c>
      <c r="H6">
        <v>10500</v>
      </c>
      <c r="I6">
        <v>10500</v>
      </c>
      <c r="J6">
        <v>10500</v>
      </c>
      <c r="K6">
        <v>10500</v>
      </c>
      <c r="L6">
        <v>10500</v>
      </c>
      <c r="M6">
        <v>10500</v>
      </c>
      <c r="N6">
        <v>10500</v>
      </c>
    </row>
    <row r="7" spans="1:16">
      <c r="A7" t="s">
        <v>99</v>
      </c>
      <c r="B7">
        <v>31440</v>
      </c>
      <c r="C7">
        <v>2620</v>
      </c>
      <c r="D7">
        <v>2620</v>
      </c>
      <c r="E7">
        <v>2620</v>
      </c>
      <c r="F7">
        <v>2620</v>
      </c>
      <c r="G7">
        <v>2620</v>
      </c>
      <c r="H7">
        <v>2620</v>
      </c>
      <c r="I7">
        <v>2620</v>
      </c>
      <c r="J7">
        <v>2620</v>
      </c>
      <c r="K7">
        <v>2620</v>
      </c>
      <c r="L7">
        <v>2620</v>
      </c>
      <c r="M7">
        <v>2620</v>
      </c>
      <c r="N7">
        <v>2620</v>
      </c>
    </row>
    <row r="8" spans="1:16">
      <c r="A8" t="s">
        <v>100</v>
      </c>
      <c r="B8">
        <v>2400</v>
      </c>
      <c r="C8">
        <v>1200</v>
      </c>
      <c r="D8">
        <v>1200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6">
      <c r="A9" t="s">
        <v>278</v>
      </c>
      <c r="B9">
        <v>158340</v>
      </c>
      <c r="C9">
        <v>13820</v>
      </c>
      <c r="D9">
        <v>13820</v>
      </c>
      <c r="E9">
        <v>12620</v>
      </c>
      <c r="F9">
        <v>13120</v>
      </c>
      <c r="G9">
        <v>13120</v>
      </c>
      <c r="H9">
        <v>13120</v>
      </c>
      <c r="I9">
        <v>13120</v>
      </c>
      <c r="J9">
        <v>13120</v>
      </c>
      <c r="K9">
        <v>13120</v>
      </c>
      <c r="L9">
        <v>13120</v>
      </c>
      <c r="M9">
        <v>13120</v>
      </c>
      <c r="N9">
        <v>13120</v>
      </c>
    </row>
    <row r="10" spans="1:16">
      <c r="A10" t="s">
        <v>101</v>
      </c>
      <c r="B10">
        <v>34409.37</v>
      </c>
      <c r="D10">
        <v>13789.47</v>
      </c>
      <c r="E10">
        <v>16070</v>
      </c>
      <c r="F10">
        <v>4212.9</v>
      </c>
      <c r="G10">
        <v>337</v>
      </c>
    </row>
    <row r="11" spans="1:16">
      <c r="A11" t="s">
        <v>102</v>
      </c>
      <c r="B11">
        <v>29969.62</v>
      </c>
      <c r="E11">
        <v>29519.62</v>
      </c>
      <c r="G11">
        <v>450</v>
      </c>
    </row>
    <row r="12" spans="1:16">
      <c r="A12" t="s">
        <v>105</v>
      </c>
      <c r="B12">
        <v>0</v>
      </c>
    </row>
    <row r="13" spans="1:16">
      <c r="A13" t="s">
        <v>279</v>
      </c>
      <c r="B13">
        <v>64378.99</v>
      </c>
      <c r="C13">
        <v>0</v>
      </c>
      <c r="D13">
        <v>13789.47</v>
      </c>
      <c r="E13">
        <v>45589.62</v>
      </c>
      <c r="F13">
        <v>4212.9</v>
      </c>
      <c r="G13">
        <v>787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1:16">
      <c r="A14" t="s">
        <v>280</v>
      </c>
      <c r="B14">
        <v>163911.53</v>
      </c>
      <c r="C14">
        <v>176211.93</v>
      </c>
      <c r="D14">
        <v>-27609.47</v>
      </c>
      <c r="E14">
        <v>-38409.62</v>
      </c>
      <c r="F14">
        <v>137367.1</v>
      </c>
      <c r="G14">
        <v>8191.59</v>
      </c>
      <c r="H14">
        <v>-13120</v>
      </c>
      <c r="I14">
        <v>-13120</v>
      </c>
      <c r="J14">
        <v>-13120</v>
      </c>
      <c r="K14">
        <v>-13120</v>
      </c>
      <c r="L14">
        <v>-13120</v>
      </c>
      <c r="M14">
        <v>-13120</v>
      </c>
      <c r="N14">
        <v>-13120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1" spans="1:14">
      <c r="A1" t="s">
        <v>281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282</v>
      </c>
      <c r="B2">
        <v>193588.455</v>
      </c>
      <c r="C2">
        <v>73588.455</v>
      </c>
      <c r="D2">
        <v>4000</v>
      </c>
      <c r="E2">
        <v>16000</v>
      </c>
      <c r="F2">
        <v>100000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97</v>
      </c>
      <c r="B3">
        <v>955.02</v>
      </c>
      <c r="C3">
        <v>-237.42</v>
      </c>
      <c r="E3">
        <v>1390</v>
      </c>
      <c r="F3">
        <v>-197.56</v>
      </c>
    </row>
    <row r="4" spans="1:14">
      <c r="A4" t="s">
        <v>283</v>
      </c>
      <c r="B4">
        <v>194543.475</v>
      </c>
      <c r="C4">
        <v>73351.035</v>
      </c>
      <c r="D4">
        <v>4000</v>
      </c>
      <c r="E4">
        <v>17390</v>
      </c>
      <c r="F4">
        <v>99802.44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284</v>
      </c>
      <c r="B5">
        <v>57860</v>
      </c>
      <c r="C5">
        <v>13820</v>
      </c>
      <c r="D5">
        <v>13820</v>
      </c>
      <c r="E5">
        <v>16400</v>
      </c>
      <c r="F5">
        <v>13820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4">
      <c r="A6" t="s">
        <v>44</v>
      </c>
      <c r="B6">
        <v>40000</v>
      </c>
      <c r="C6">
        <v>10000</v>
      </c>
      <c r="D6">
        <v>10000</v>
      </c>
      <c r="E6">
        <v>10000</v>
      </c>
      <c r="F6">
        <v>10000</v>
      </c>
    </row>
    <row r="7" spans="1:14">
      <c r="A7" t="s">
        <v>99</v>
      </c>
      <c r="B7">
        <v>10480</v>
      </c>
      <c r="C7">
        <v>2620</v>
      </c>
      <c r="D7">
        <v>2620</v>
      </c>
      <c r="E7">
        <v>2620</v>
      </c>
      <c r="F7">
        <v>2620</v>
      </c>
    </row>
    <row r="8" spans="1:14">
      <c r="A8" t="s">
        <v>100</v>
      </c>
      <c r="B8">
        <v>4800</v>
      </c>
      <c r="C8">
        <v>1200</v>
      </c>
      <c r="D8">
        <v>1200</v>
      </c>
      <c r="E8">
        <v>1200</v>
      </c>
      <c r="F8">
        <v>1200</v>
      </c>
    </row>
    <row r="9" spans="1:14">
      <c r="A9" t="s">
        <v>278</v>
      </c>
      <c r="B9">
        <v>55280</v>
      </c>
      <c r="C9">
        <v>13820</v>
      </c>
      <c r="D9">
        <v>13820</v>
      </c>
      <c r="E9">
        <v>13820</v>
      </c>
      <c r="F9">
        <v>13820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</row>
    <row r="10" spans="1:14">
      <c r="A10" t="s">
        <v>101</v>
      </c>
      <c r="B10">
        <v>2580</v>
      </c>
      <c r="E10">
        <v>2580</v>
      </c>
    </row>
    <row r="11" spans="1:14">
      <c r="A11" t="s">
        <v>102</v>
      </c>
      <c r="B11">
        <v>0</v>
      </c>
    </row>
    <row r="12" spans="1:14">
      <c r="A12" t="s">
        <v>105</v>
      </c>
      <c r="B12">
        <v>0</v>
      </c>
    </row>
    <row r="13" spans="1:14">
      <c r="A13" t="s">
        <v>279</v>
      </c>
      <c r="B13">
        <v>2580</v>
      </c>
      <c r="C13">
        <v>0</v>
      </c>
      <c r="D13">
        <v>0</v>
      </c>
      <c r="E13">
        <v>2580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1:14">
      <c r="A14" t="s">
        <v>285</v>
      </c>
      <c r="B14">
        <v>136683.475</v>
      </c>
      <c r="C14">
        <v>59531.035</v>
      </c>
      <c r="D14">
        <v>-9820</v>
      </c>
      <c r="E14">
        <v>990</v>
      </c>
      <c r="F14">
        <v>85982.44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1" spans="1:14">
      <c r="A1" t="s">
        <v>286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287</v>
      </c>
      <c r="B2">
        <v>2628346.995</v>
      </c>
      <c r="C2">
        <v>1648346.995</v>
      </c>
      <c r="D2">
        <v>0</v>
      </c>
      <c r="E2">
        <v>20000</v>
      </c>
      <c r="F2">
        <v>960000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97</v>
      </c>
      <c r="B3">
        <v>10460.22</v>
      </c>
      <c r="C3">
        <v>2312.26</v>
      </c>
      <c r="E3">
        <v>-1190</v>
      </c>
      <c r="F3">
        <v>197.56</v>
      </c>
      <c r="G3">
        <v>9140.4</v>
      </c>
    </row>
    <row r="4" spans="1:14">
      <c r="A4" t="s">
        <v>288</v>
      </c>
      <c r="B4">
        <v>2638807.215</v>
      </c>
      <c r="C4">
        <v>1650659.255</v>
      </c>
      <c r="D4">
        <v>0</v>
      </c>
      <c r="E4">
        <v>18810</v>
      </c>
      <c r="F4">
        <v>960197.5600000001</v>
      </c>
      <c r="G4">
        <v>9140.4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289</v>
      </c>
      <c r="B5">
        <v>1223049.81</v>
      </c>
      <c r="C5">
        <v>9356.01</v>
      </c>
      <c r="D5">
        <v>726806.33</v>
      </c>
      <c r="E5">
        <v>6806.33</v>
      </c>
      <c r="F5">
        <v>407201.45</v>
      </c>
      <c r="G5">
        <v>25235.38</v>
      </c>
      <c r="H5">
        <v>6806.33</v>
      </c>
      <c r="I5">
        <v>6806.33</v>
      </c>
      <c r="J5">
        <v>6806.33</v>
      </c>
      <c r="K5">
        <v>6806.33</v>
      </c>
      <c r="L5">
        <v>6806.33</v>
      </c>
      <c r="M5">
        <v>6806.33</v>
      </c>
      <c r="N5">
        <v>6806.33</v>
      </c>
    </row>
    <row r="6" spans="1:14">
      <c r="A6" t="s">
        <v>44</v>
      </c>
      <c r="B6">
        <v>66000</v>
      </c>
      <c r="C6">
        <v>5500</v>
      </c>
      <c r="D6">
        <v>5500</v>
      </c>
      <c r="E6">
        <v>5500</v>
      </c>
      <c r="F6">
        <v>5500</v>
      </c>
      <c r="G6">
        <v>5500</v>
      </c>
      <c r="H6">
        <v>5500</v>
      </c>
      <c r="I6">
        <v>5500</v>
      </c>
      <c r="J6">
        <v>5500</v>
      </c>
      <c r="K6">
        <v>5500</v>
      </c>
      <c r="L6">
        <v>5500</v>
      </c>
      <c r="M6">
        <v>5500</v>
      </c>
      <c r="N6">
        <v>5500</v>
      </c>
    </row>
    <row r="7" spans="1:14">
      <c r="A7" t="s">
        <v>99</v>
      </c>
      <c r="B7">
        <v>15675.96</v>
      </c>
      <c r="C7">
        <v>1306.33</v>
      </c>
      <c r="D7">
        <v>1306.33</v>
      </c>
      <c r="E7">
        <v>1306.33</v>
      </c>
      <c r="F7">
        <v>1306.33</v>
      </c>
      <c r="G7">
        <v>1306.33</v>
      </c>
      <c r="H7">
        <v>1306.33</v>
      </c>
      <c r="I7">
        <v>1306.33</v>
      </c>
      <c r="J7">
        <v>1306.33</v>
      </c>
      <c r="K7">
        <v>1306.33</v>
      </c>
      <c r="L7">
        <v>1306.33</v>
      </c>
      <c r="M7">
        <v>1306.33</v>
      </c>
      <c r="N7">
        <v>1306.33</v>
      </c>
    </row>
    <row r="8" spans="1:14">
      <c r="A8" t="s">
        <v>100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4">
      <c r="A9" t="s">
        <v>278</v>
      </c>
      <c r="B9">
        <v>81675.96000000001</v>
      </c>
      <c r="C9">
        <v>6806.33</v>
      </c>
      <c r="D9">
        <v>6806.33</v>
      </c>
      <c r="E9">
        <v>6806.33</v>
      </c>
      <c r="F9">
        <v>6806.33</v>
      </c>
      <c r="G9">
        <v>6806.33</v>
      </c>
      <c r="H9">
        <v>6806.33</v>
      </c>
      <c r="I9">
        <v>6806.33</v>
      </c>
      <c r="J9">
        <v>6806.33</v>
      </c>
      <c r="K9">
        <v>6806.33</v>
      </c>
      <c r="L9">
        <v>6806.33</v>
      </c>
      <c r="M9">
        <v>6806.33</v>
      </c>
      <c r="N9">
        <v>6806.33</v>
      </c>
    </row>
    <row r="10" spans="1:14">
      <c r="A10" t="s">
        <v>101</v>
      </c>
      <c r="B10">
        <v>1128549.68</v>
      </c>
      <c r="C10">
        <v>2549.68</v>
      </c>
      <c r="D10">
        <v>720000</v>
      </c>
      <c r="F10">
        <v>400000</v>
      </c>
      <c r="G10">
        <v>6000</v>
      </c>
    </row>
    <row r="11" spans="1:14">
      <c r="A11" t="s">
        <v>102</v>
      </c>
      <c r="B11">
        <v>774.8200000000001</v>
      </c>
      <c r="F11">
        <v>395.12</v>
      </c>
      <c r="G11">
        <v>379.7</v>
      </c>
    </row>
    <row r="12" spans="1:14">
      <c r="A12" t="s">
        <v>105</v>
      </c>
      <c r="B12">
        <v>12049.35</v>
      </c>
      <c r="G12">
        <v>12049.35</v>
      </c>
    </row>
    <row r="13" spans="1:14">
      <c r="A13" t="s">
        <v>279</v>
      </c>
      <c r="B13">
        <v>1141373.85</v>
      </c>
      <c r="C13">
        <v>2549.68</v>
      </c>
      <c r="D13">
        <v>720000</v>
      </c>
      <c r="E13">
        <v>0</v>
      </c>
      <c r="F13">
        <v>400395.12</v>
      </c>
      <c r="G13">
        <v>18429.05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1:14">
      <c r="A14" t="s">
        <v>290</v>
      </c>
      <c r="B14">
        <v>1415757.405</v>
      </c>
      <c r="C14">
        <v>1641303.245</v>
      </c>
      <c r="D14">
        <v>-726806.33</v>
      </c>
      <c r="E14">
        <v>12003.67</v>
      </c>
      <c r="F14">
        <v>552996.11</v>
      </c>
      <c r="G14">
        <v>-16094.98</v>
      </c>
      <c r="H14">
        <v>-6806.33</v>
      </c>
      <c r="I14">
        <v>-6806.33</v>
      </c>
      <c r="J14">
        <v>-6806.33</v>
      </c>
      <c r="K14">
        <v>-6806.33</v>
      </c>
      <c r="L14">
        <v>-6806.33</v>
      </c>
      <c r="M14">
        <v>-6806.33</v>
      </c>
      <c r="N14">
        <v>-6806.33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1" spans="1:14">
      <c r="A1" t="s">
        <v>291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292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97</v>
      </c>
      <c r="B3">
        <v>138582.68</v>
      </c>
      <c r="D3">
        <v>110000</v>
      </c>
      <c r="G3">
        <v>28582.68</v>
      </c>
    </row>
    <row r="4" spans="1:14">
      <c r="A4" t="s">
        <v>293</v>
      </c>
      <c r="B4">
        <v>138582.68</v>
      </c>
      <c r="C4">
        <v>0</v>
      </c>
      <c r="D4">
        <v>110000</v>
      </c>
      <c r="E4">
        <v>0</v>
      </c>
      <c r="F4">
        <v>0</v>
      </c>
      <c r="G4">
        <v>28582.68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294</v>
      </c>
      <c r="B5">
        <v>27918.99</v>
      </c>
      <c r="C5">
        <v>0</v>
      </c>
      <c r="D5">
        <v>8306.33</v>
      </c>
      <c r="E5">
        <v>8306.33</v>
      </c>
      <c r="F5">
        <v>11306.33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4">
      <c r="A6" t="s">
        <v>44</v>
      </c>
      <c r="B6">
        <v>24000</v>
      </c>
      <c r="D6">
        <v>7000</v>
      </c>
      <c r="E6">
        <v>7000</v>
      </c>
      <c r="F6">
        <v>10000</v>
      </c>
    </row>
    <row r="7" spans="1:14">
      <c r="A7" t="s">
        <v>99</v>
      </c>
      <c r="B7">
        <v>3918.99</v>
      </c>
      <c r="D7">
        <v>1306.33</v>
      </c>
      <c r="E7">
        <v>1306.33</v>
      </c>
      <c r="F7">
        <v>1306.33</v>
      </c>
    </row>
    <row r="8" spans="1:14">
      <c r="A8" t="s">
        <v>100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4">
      <c r="A9" t="s">
        <v>278</v>
      </c>
      <c r="B9">
        <v>27918.99</v>
      </c>
      <c r="C9">
        <v>0</v>
      </c>
      <c r="D9">
        <v>8306.33</v>
      </c>
      <c r="E9">
        <v>8306.33</v>
      </c>
      <c r="F9">
        <v>11306.33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</row>
    <row r="10" spans="1:14">
      <c r="A10" t="s">
        <v>101</v>
      </c>
      <c r="B10">
        <v>0</v>
      </c>
    </row>
    <row r="11" spans="1:14">
      <c r="A11" t="s">
        <v>102</v>
      </c>
      <c r="B11">
        <v>0</v>
      </c>
    </row>
    <row r="12" spans="1:14">
      <c r="A12" t="s">
        <v>105</v>
      </c>
      <c r="B12">
        <v>0</v>
      </c>
    </row>
    <row r="13" spans="1:14">
      <c r="A13" t="s">
        <v>279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1:14">
      <c r="A14" t="s">
        <v>295</v>
      </c>
      <c r="B14">
        <v>110663.69</v>
      </c>
      <c r="C14">
        <v>0</v>
      </c>
      <c r="D14">
        <v>101693.67</v>
      </c>
      <c r="E14">
        <v>-8306.33</v>
      </c>
      <c r="F14">
        <v>-11306.33</v>
      </c>
      <c r="G14">
        <v>28582.68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sheetFormatPr defaultRowHeight="15"/>
  <cols>
    <col min="1" max="1" width="18.7109375" customWidth="1"/>
    <col min="2" max="8" width="22.7109375" customWidth="1"/>
  </cols>
  <sheetData>
    <row r="1" spans="1:8">
      <c r="A1" s="1" t="s">
        <v>48</v>
      </c>
      <c r="B1" s="1"/>
      <c r="C1" s="1"/>
      <c r="D1" s="1"/>
      <c r="E1" s="1"/>
      <c r="F1" s="1"/>
      <c r="G1" s="1"/>
      <c r="H1" s="1"/>
    </row>
    <row r="3" spans="1:8">
      <c r="A3" s="2" t="s">
        <v>49</v>
      </c>
      <c r="B3" s="2" t="s">
        <v>50</v>
      </c>
    </row>
    <row r="4" spans="1:8">
      <c r="A4" s="3" t="s">
        <v>51</v>
      </c>
      <c r="B4" s="4" t="s">
        <v>52</v>
      </c>
      <c r="C4" s="4"/>
      <c r="D4" s="4"/>
      <c r="E4" s="4"/>
      <c r="F4" s="4"/>
      <c r="G4" s="4"/>
      <c r="H4" s="4"/>
    </row>
    <row r="5" spans="1:8">
      <c r="A5" s="3" t="s">
        <v>53</v>
      </c>
      <c r="B5" s="4" t="s">
        <v>54</v>
      </c>
      <c r="C5" s="4"/>
      <c r="D5" s="4"/>
      <c r="E5" s="4"/>
      <c r="F5" s="4"/>
      <c r="G5" s="4"/>
      <c r="H5" s="4"/>
    </row>
    <row r="6" spans="1:8">
      <c r="A6" s="3" t="s">
        <v>55</v>
      </c>
      <c r="B6" s="4" t="s">
        <v>56</v>
      </c>
      <c r="C6" s="4"/>
      <c r="D6" s="4"/>
      <c r="E6" s="4"/>
      <c r="F6" s="4"/>
      <c r="G6" s="4"/>
      <c r="H6" s="4"/>
    </row>
    <row r="7" spans="1:8">
      <c r="A7" s="3" t="s">
        <v>57</v>
      </c>
      <c r="B7" s="4" t="s">
        <v>58</v>
      </c>
      <c r="C7" s="4"/>
      <c r="D7" s="4"/>
      <c r="E7" s="4"/>
      <c r="F7" s="4"/>
      <c r="G7" s="4"/>
      <c r="H7" s="4"/>
    </row>
    <row r="8" spans="1:8">
      <c r="A8" s="3" t="s">
        <v>59</v>
      </c>
      <c r="B8" s="4" t="s">
        <v>60</v>
      </c>
      <c r="C8" s="4"/>
      <c r="D8" s="4"/>
      <c r="E8" s="4"/>
      <c r="F8" s="4"/>
      <c r="G8" s="4"/>
      <c r="H8" s="4"/>
    </row>
  </sheetData>
  <mergeCells count="6">
    <mergeCell ref="A1:H1"/>
    <mergeCell ref="B4:H4"/>
    <mergeCell ref="B5:H5"/>
    <mergeCell ref="B6:H6"/>
    <mergeCell ref="B7:H7"/>
    <mergeCell ref="B8:H8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P5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6" width="14.7109375" customWidth="1"/>
  </cols>
  <sheetData>
    <row r="1" spans="1:16">
      <c r="A1" t="s">
        <v>25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6">
      <c r="A2" t="s">
        <v>296</v>
      </c>
      <c r="B2">
        <v>120000</v>
      </c>
      <c r="C2">
        <v>0</v>
      </c>
      <c r="D2">
        <v>0</v>
      </c>
      <c r="E2">
        <v>0</v>
      </c>
      <c r="F2">
        <v>120000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6">
      <c r="A3" t="s">
        <v>97</v>
      </c>
      <c r="B3">
        <v>-60846.69</v>
      </c>
      <c r="F3">
        <v>-44700</v>
      </c>
      <c r="G3">
        <v>-16146.69</v>
      </c>
      <c r="P3">
        <v>-124846.69</v>
      </c>
    </row>
    <row r="4" spans="1:16">
      <c r="A4" t="s">
        <v>293</v>
      </c>
      <c r="B4">
        <v>59153.31</v>
      </c>
      <c r="C4">
        <v>0</v>
      </c>
      <c r="D4">
        <v>0</v>
      </c>
      <c r="E4">
        <v>0</v>
      </c>
      <c r="F4">
        <v>75300</v>
      </c>
      <c r="G4">
        <v>-16146.69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6">
      <c r="A5" t="s">
        <v>297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6">
      <c r="A6" t="s">
        <v>298</v>
      </c>
      <c r="B6">
        <v>0</v>
      </c>
    </row>
    <row r="7" spans="1:16">
      <c r="A7" t="s">
        <v>299</v>
      </c>
      <c r="B7">
        <v>0</v>
      </c>
    </row>
    <row r="8" spans="1:16">
      <c r="A8" t="s">
        <v>300</v>
      </c>
      <c r="B8">
        <v>-5000</v>
      </c>
      <c r="C8">
        <v>0</v>
      </c>
      <c r="D8">
        <v>0</v>
      </c>
      <c r="E8">
        <v>-5000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6">
      <c r="A9" t="s">
        <v>301</v>
      </c>
      <c r="B9">
        <v>0</v>
      </c>
      <c r="C9">
        <v>0</v>
      </c>
    </row>
    <row r="10" spans="1:16">
      <c r="A10" t="s">
        <v>302</v>
      </c>
      <c r="B10">
        <v>54153.31</v>
      </c>
      <c r="C10">
        <v>0</v>
      </c>
      <c r="D10">
        <v>0</v>
      </c>
      <c r="E10">
        <v>-5000</v>
      </c>
      <c r="F10">
        <v>75300</v>
      </c>
      <c r="G10">
        <v>-16146.69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  <row r="13" spans="1:16">
      <c r="A13" t="s">
        <v>303</v>
      </c>
      <c r="B13" t="s">
        <v>228</v>
      </c>
      <c r="C13" t="s">
        <v>1</v>
      </c>
      <c r="D13" t="s">
        <v>2</v>
      </c>
      <c r="E13" t="s">
        <v>3</v>
      </c>
      <c r="F13" t="s">
        <v>4</v>
      </c>
      <c r="G13" t="s">
        <v>5</v>
      </c>
      <c r="H13" t="s">
        <v>6</v>
      </c>
      <c r="I13" t="s">
        <v>7</v>
      </c>
      <c r="J13" t="s">
        <v>8</v>
      </c>
      <c r="K13" t="s">
        <v>9</v>
      </c>
      <c r="L13" t="s">
        <v>10</v>
      </c>
      <c r="M13" t="s">
        <v>11</v>
      </c>
      <c r="N13" t="s">
        <v>12</v>
      </c>
    </row>
    <row r="14" spans="1:16">
      <c r="A14" t="s">
        <v>304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</row>
    <row r="15" spans="1:16">
      <c r="A15" t="s">
        <v>305</v>
      </c>
      <c r="B15">
        <v>0</v>
      </c>
    </row>
    <row r="16" spans="1:16">
      <c r="A16" t="s">
        <v>306</v>
      </c>
      <c r="B16">
        <v>0</v>
      </c>
    </row>
    <row r="17" spans="1:14">
      <c r="A17" t="s">
        <v>307</v>
      </c>
      <c r="B17">
        <v>0</v>
      </c>
    </row>
    <row r="18" spans="1:14">
      <c r="B18">
        <v>0</v>
      </c>
    </row>
    <row r="19" spans="1:14">
      <c r="A19" t="s">
        <v>108</v>
      </c>
      <c r="B19">
        <v>5000</v>
      </c>
      <c r="C19">
        <v>0</v>
      </c>
      <c r="D19">
        <v>0</v>
      </c>
      <c r="E19">
        <v>5000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</row>
    <row r="20" spans="1:14">
      <c r="A20" t="s">
        <v>308</v>
      </c>
      <c r="B20">
        <v>0</v>
      </c>
    </row>
    <row r="21" spans="1:14">
      <c r="A21" t="s">
        <v>309</v>
      </c>
      <c r="B21">
        <v>0</v>
      </c>
    </row>
    <row r="22" spans="1:14">
      <c r="A22" t="s">
        <v>310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</row>
    <row r="23" spans="1:14">
      <c r="A23" t="s">
        <v>311</v>
      </c>
      <c r="B23">
        <v>0</v>
      </c>
    </row>
    <row r="24" spans="1:14">
      <c r="A24" t="s">
        <v>109</v>
      </c>
      <c r="B24">
        <v>5000</v>
      </c>
      <c r="E24">
        <v>5000</v>
      </c>
    </row>
    <row r="25" spans="1:14">
      <c r="A25" t="s">
        <v>312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</row>
    <row r="26" spans="1:14">
      <c r="A26" t="s">
        <v>313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</row>
    <row r="27" spans="1:14">
      <c r="B27">
        <v>0</v>
      </c>
    </row>
    <row r="28" spans="1:14">
      <c r="B28">
        <v>0</v>
      </c>
    </row>
    <row r="29" spans="1:14">
      <c r="B29">
        <v>0</v>
      </c>
    </row>
    <row r="30" spans="1:14">
      <c r="A30" t="s">
        <v>112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</row>
    <row r="31" spans="1:14">
      <c r="A31" t="s">
        <v>37</v>
      </c>
      <c r="B31">
        <v>0</v>
      </c>
    </row>
    <row r="32" spans="1:14">
      <c r="A32" t="s">
        <v>314</v>
      </c>
      <c r="B32">
        <v>0</v>
      </c>
    </row>
    <row r="33" spans="1:14">
      <c r="A33" t="s">
        <v>110</v>
      </c>
      <c r="B33">
        <v>-5000</v>
      </c>
      <c r="C33">
        <v>0</v>
      </c>
      <c r="D33">
        <v>0</v>
      </c>
      <c r="E33">
        <v>-5000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</row>
    <row r="35" spans="1:14">
      <c r="A35" t="s">
        <v>315</v>
      </c>
      <c r="B35" t="s">
        <v>228</v>
      </c>
      <c r="C35" t="s">
        <v>1</v>
      </c>
      <c r="D35" t="s">
        <v>2</v>
      </c>
      <c r="E35" t="s">
        <v>3</v>
      </c>
      <c r="F35" t="s">
        <v>4</v>
      </c>
      <c r="G35" t="s">
        <v>5</v>
      </c>
      <c r="H35" t="s">
        <v>6</v>
      </c>
      <c r="I35" t="s">
        <v>7</v>
      </c>
      <c r="J35" t="s">
        <v>8</v>
      </c>
      <c r="K35" t="s">
        <v>9</v>
      </c>
      <c r="L35" t="s">
        <v>10</v>
      </c>
      <c r="M35" t="s">
        <v>11</v>
      </c>
      <c r="N35" t="s">
        <v>12</v>
      </c>
    </row>
    <row r="36" spans="1:14">
      <c r="A36" t="s">
        <v>304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</row>
    <row r="37" spans="1:14">
      <c r="A37" t="s">
        <v>316</v>
      </c>
      <c r="B37">
        <v>0</v>
      </c>
    </row>
    <row r="38" spans="1:14">
      <c r="A38" t="s">
        <v>317</v>
      </c>
      <c r="B38">
        <v>0</v>
      </c>
    </row>
    <row r="39" spans="1:14">
      <c r="A39" t="s">
        <v>307</v>
      </c>
      <c r="B39">
        <v>0</v>
      </c>
    </row>
    <row r="40" spans="1:14">
      <c r="B40">
        <v>0</v>
      </c>
    </row>
    <row r="41" spans="1:14">
      <c r="A41" t="s">
        <v>108</v>
      </c>
      <c r="B41">
        <v>2401.38</v>
      </c>
      <c r="C41">
        <v>0</v>
      </c>
      <c r="D41">
        <v>0</v>
      </c>
      <c r="E41">
        <v>0</v>
      </c>
      <c r="F41">
        <v>0</v>
      </c>
      <c r="G41">
        <v>2401.38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</row>
    <row r="42" spans="1:14">
      <c r="A42" t="s">
        <v>318</v>
      </c>
      <c r="B42">
        <v>0</v>
      </c>
    </row>
    <row r="43" spans="1:14">
      <c r="A43" t="s">
        <v>309</v>
      </c>
      <c r="B43">
        <v>0</v>
      </c>
    </row>
    <row r="44" spans="1:14">
      <c r="A44" t="s">
        <v>310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</row>
    <row r="45" spans="1:14">
      <c r="A45" t="s">
        <v>311</v>
      </c>
      <c r="B45">
        <v>0</v>
      </c>
    </row>
    <row r="46" spans="1:14">
      <c r="A46" t="s">
        <v>109</v>
      </c>
      <c r="B46">
        <v>0</v>
      </c>
    </row>
    <row r="47" spans="1:14">
      <c r="A47" t="s">
        <v>312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</row>
    <row r="48" spans="1:14">
      <c r="A48" t="s">
        <v>313</v>
      </c>
      <c r="B48">
        <v>2222</v>
      </c>
      <c r="C48">
        <v>0</v>
      </c>
      <c r="D48">
        <v>0</v>
      </c>
      <c r="E48">
        <v>0</v>
      </c>
      <c r="F48">
        <v>0</v>
      </c>
      <c r="G48">
        <v>2222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</row>
    <row r="49" spans="1:14">
      <c r="A49" t="s">
        <v>111</v>
      </c>
      <c r="B49">
        <v>2222</v>
      </c>
      <c r="G49">
        <v>2222</v>
      </c>
    </row>
    <row r="50" spans="1:14">
      <c r="B50">
        <v>0</v>
      </c>
    </row>
    <row r="51" spans="1:14">
      <c r="B51">
        <v>0</v>
      </c>
    </row>
    <row r="52" spans="1:14">
      <c r="A52" t="s">
        <v>112</v>
      </c>
      <c r="B52">
        <v>179.38</v>
      </c>
      <c r="C52">
        <v>0</v>
      </c>
      <c r="D52">
        <v>0</v>
      </c>
      <c r="E52">
        <v>0</v>
      </c>
      <c r="F52">
        <v>0</v>
      </c>
      <c r="G52">
        <v>179.38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</row>
    <row r="53" spans="1:14">
      <c r="A53" t="s">
        <v>113</v>
      </c>
      <c r="B53">
        <v>179.38</v>
      </c>
      <c r="G53">
        <v>179.38</v>
      </c>
    </row>
    <row r="55" spans="1:14">
      <c r="A55" t="s">
        <v>319</v>
      </c>
      <c r="B55">
        <v>0</v>
      </c>
    </row>
    <row r="56" spans="1:14">
      <c r="A56" t="s">
        <v>110</v>
      </c>
      <c r="B56">
        <v>-2401.38</v>
      </c>
      <c r="C56">
        <v>0</v>
      </c>
      <c r="D56">
        <v>0</v>
      </c>
      <c r="E56">
        <v>0</v>
      </c>
      <c r="F56">
        <v>0</v>
      </c>
      <c r="G56">
        <v>-2401.38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1" spans="1:14">
      <c r="A1" t="s">
        <v>27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320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97</v>
      </c>
      <c r="B3">
        <v>-5994.6</v>
      </c>
      <c r="G3">
        <v>-5994.6</v>
      </c>
    </row>
    <row r="4" spans="1:14">
      <c r="A4" t="s">
        <v>293</v>
      </c>
      <c r="B4">
        <v>-5994.6</v>
      </c>
      <c r="C4">
        <v>0</v>
      </c>
      <c r="D4">
        <v>0</v>
      </c>
      <c r="E4">
        <v>0</v>
      </c>
      <c r="F4">
        <v>0</v>
      </c>
      <c r="G4">
        <v>-5994.6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297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4">
      <c r="B6">
        <v>0</v>
      </c>
    </row>
    <row r="7" spans="1:14">
      <c r="B7">
        <v>0</v>
      </c>
    </row>
    <row r="8" spans="1:14">
      <c r="A8" t="s">
        <v>321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4">
      <c r="A9" t="s">
        <v>322</v>
      </c>
      <c r="B9">
        <v>0</v>
      </c>
    </row>
    <row r="10" spans="1:14">
      <c r="A10" t="s">
        <v>323</v>
      </c>
      <c r="B10">
        <v>-5994.6</v>
      </c>
      <c r="C10">
        <v>0</v>
      </c>
      <c r="D10">
        <v>0</v>
      </c>
      <c r="E10">
        <v>0</v>
      </c>
      <c r="F10">
        <v>0</v>
      </c>
      <c r="G10">
        <v>-5994.6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4" width="14.7109375" customWidth="1"/>
  </cols>
  <sheetData>
    <row r="1" spans="1:14">
      <c r="A1" t="s">
        <v>26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324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97</v>
      </c>
      <c r="B3">
        <v>0</v>
      </c>
    </row>
    <row r="4" spans="1:14">
      <c r="A4" t="s">
        <v>293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4">
      <c r="A5" t="s">
        <v>297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4">
      <c r="B6">
        <v>0</v>
      </c>
    </row>
    <row r="7" spans="1:14">
      <c r="B7">
        <v>0</v>
      </c>
    </row>
    <row r="8" spans="1:14">
      <c r="A8" t="s">
        <v>325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 spans="1:14">
      <c r="A9" t="s">
        <v>322</v>
      </c>
      <c r="B9">
        <v>0</v>
      </c>
    </row>
    <row r="10" spans="1:14">
      <c r="A10" t="s">
        <v>326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6" width="14.7109375" customWidth="1"/>
  </cols>
  <sheetData>
    <row r="1" spans="1:16">
      <c r="A1" t="s">
        <v>28</v>
      </c>
      <c r="B1" t="s">
        <v>228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6">
      <c r="A2" t="s">
        <v>327</v>
      </c>
      <c r="B2">
        <v>206000</v>
      </c>
      <c r="G2">
        <v>206000</v>
      </c>
    </row>
    <row r="3" spans="1:16">
      <c r="A3" t="s">
        <v>97</v>
      </c>
      <c r="B3">
        <v>0</v>
      </c>
      <c r="P3">
        <v>-64000</v>
      </c>
    </row>
    <row r="4" spans="1:16">
      <c r="A4" t="s">
        <v>293</v>
      </c>
      <c r="B4">
        <v>206000</v>
      </c>
      <c r="C4">
        <v>0</v>
      </c>
      <c r="D4">
        <v>0</v>
      </c>
      <c r="E4">
        <v>0</v>
      </c>
      <c r="F4">
        <v>0</v>
      </c>
      <c r="G4">
        <v>206000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</row>
    <row r="5" spans="1:16">
      <c r="A5" t="s">
        <v>297</v>
      </c>
      <c r="B5">
        <v>179.38</v>
      </c>
      <c r="C5">
        <v>0</v>
      </c>
      <c r="D5">
        <v>0</v>
      </c>
      <c r="E5">
        <v>0</v>
      </c>
      <c r="F5">
        <v>0</v>
      </c>
      <c r="G5">
        <v>179.38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</row>
    <row r="6" spans="1:16">
      <c r="A6" t="s">
        <v>111</v>
      </c>
      <c r="B6">
        <v>0</v>
      </c>
    </row>
    <row r="7" spans="1:16">
      <c r="A7" t="s">
        <v>113</v>
      </c>
      <c r="B7">
        <v>179.38</v>
      </c>
      <c r="G7">
        <v>179.38</v>
      </c>
    </row>
    <row r="8" spans="1:16">
      <c r="A8" t="s">
        <v>299</v>
      </c>
      <c r="B8">
        <v>0</v>
      </c>
    </row>
    <row r="9" spans="1:16">
      <c r="A9" t="s">
        <v>302</v>
      </c>
      <c r="B9">
        <v>205820.62</v>
      </c>
      <c r="C9">
        <v>0</v>
      </c>
      <c r="D9">
        <v>0</v>
      </c>
      <c r="E9">
        <v>0</v>
      </c>
      <c r="F9">
        <v>0</v>
      </c>
      <c r="G9">
        <v>205820.62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J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22.7109375" customWidth="1"/>
    <col min="2" max="10" width="14.7109375" customWidth="1"/>
  </cols>
  <sheetData>
    <row r="1" spans="1:10">
      <c r="A1" t="s">
        <v>328</v>
      </c>
      <c r="B1" t="s">
        <v>228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</row>
    <row r="2" spans="1:10">
      <c r="A2" t="s">
        <v>119</v>
      </c>
      <c r="B2">
        <v>10123.23</v>
      </c>
      <c r="C2">
        <v>2200</v>
      </c>
      <c r="D2">
        <v>7923.23</v>
      </c>
    </row>
    <row r="3" spans="1:10">
      <c r="A3" t="s">
        <v>120</v>
      </c>
      <c r="B3">
        <v>2510.9</v>
      </c>
      <c r="C3">
        <v>2110.9</v>
      </c>
      <c r="D3">
        <v>400</v>
      </c>
    </row>
    <row r="4" spans="1:10">
      <c r="A4" t="s">
        <v>126</v>
      </c>
      <c r="B4">
        <v>21.05</v>
      </c>
      <c r="C4">
        <v>4.42</v>
      </c>
      <c r="D4">
        <v>7.63</v>
      </c>
      <c r="E4">
        <v>9</v>
      </c>
    </row>
    <row r="5" spans="1:10">
      <c r="A5" t="s">
        <v>87</v>
      </c>
      <c r="B5">
        <v>0</v>
      </c>
    </row>
    <row r="6" spans="1:10">
      <c r="A6" t="s">
        <v>110</v>
      </c>
      <c r="B6">
        <v>7591.28</v>
      </c>
      <c r="C6">
        <v>84.67999999999989</v>
      </c>
      <c r="D6">
        <v>7515.6</v>
      </c>
      <c r="E6">
        <v>-9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S35"/>
  <sheetViews>
    <sheetView workbookViewId="0">
      <pane ySplit="1" topLeftCell="A2" activePane="bottomLeft" state="frozen"/>
      <selection pane="bottomLeft"/>
    </sheetView>
  </sheetViews>
  <sheetFormatPr defaultRowHeight="15"/>
  <cols>
    <col min="1" max="2" width="10.7109375" customWidth="1"/>
    <col min="3" max="3" width="12.7109375" customWidth="1"/>
    <col min="4" max="4" width="24.7109375" customWidth="1"/>
    <col min="5" max="18" width="14.7109375" style="5" customWidth="1"/>
    <col min="19" max="19" width="28.7109375" customWidth="1"/>
  </cols>
  <sheetData>
    <row r="1" spans="1:19">
      <c r="A1" t="s">
        <v>61</v>
      </c>
      <c r="B1" t="s">
        <v>0</v>
      </c>
      <c r="C1" t="s">
        <v>14</v>
      </c>
      <c r="D1" t="s">
        <v>62</v>
      </c>
      <c r="E1" s="5" t="s">
        <v>63</v>
      </c>
      <c r="F1" s="5" t="s">
        <v>64</v>
      </c>
      <c r="G1" s="5" t="s">
        <v>65</v>
      </c>
      <c r="H1" s="5" t="s">
        <v>66</v>
      </c>
      <c r="I1" s="5" t="s">
        <v>20</v>
      </c>
      <c r="J1" s="5" t="s">
        <v>21</v>
      </c>
      <c r="K1" s="5" t="s">
        <v>22</v>
      </c>
      <c r="L1" s="5" t="s">
        <v>23</v>
      </c>
      <c r="M1" s="5" t="s">
        <v>24</v>
      </c>
      <c r="N1" s="5" t="s">
        <v>25</v>
      </c>
      <c r="O1" s="5" t="s">
        <v>26</v>
      </c>
      <c r="P1" s="5" t="s">
        <v>27</v>
      </c>
      <c r="Q1" s="5" t="s">
        <v>67</v>
      </c>
      <c r="R1" s="5" t="s">
        <v>68</v>
      </c>
      <c r="S1" t="s">
        <v>69</v>
      </c>
    </row>
    <row r="2" spans="1:19">
      <c r="A2" t="s">
        <v>70</v>
      </c>
      <c r="B2" t="s">
        <v>13</v>
      </c>
      <c r="C2" t="s">
        <v>15</v>
      </c>
      <c r="D2" t="s">
        <v>71</v>
      </c>
      <c r="H2" s="5">
        <f>IF([@款项类型]="期初余额","",N([@收入金额])-N([@项目支出])-N([@第三方支出]))</f>
        <v>0</v>
      </c>
      <c r="I2" s="5">
        <v>190506.77</v>
      </c>
      <c r="J2" s="5">
        <v>73588.455</v>
      </c>
      <c r="K2" s="5">
        <v>1648346.995</v>
      </c>
      <c r="L2" s="5">
        <v>285889.510625</v>
      </c>
      <c r="M2" s="5">
        <v>0</v>
      </c>
      <c r="N2" s="5">
        <v>0</v>
      </c>
      <c r="O2" s="5">
        <v>0</v>
      </c>
      <c r="P2" s="5">
        <v>0</v>
      </c>
      <c r="Q2" s="5">
        <f>N([@[苏薇]])+N([@[蒋家宁]])+N([@[朱潇潇/木雨]])+N([@[公共可支配]])+N([@[妹妹项目组]])+N([@[自研产品组]])+N([@[电商渠道组]])+N([@[AIGC组]])</f>
        <v>0</v>
      </c>
      <c r="R2" s="5">
        <f>IF([@款项类型]="期初余额",0,N([@可分配利润])-N([@分配合计]))</f>
        <v>0</v>
      </c>
      <c r="S2" t="s">
        <v>72</v>
      </c>
    </row>
    <row r="3" spans="1:19">
      <c r="A3">
        <v>2026</v>
      </c>
      <c r="B3" t="s">
        <v>2</v>
      </c>
      <c r="C3" t="s">
        <v>16</v>
      </c>
      <c r="D3" t="s">
        <v>73</v>
      </c>
      <c r="E3" s="5">
        <v>24000</v>
      </c>
      <c r="H3" s="5">
        <f>IF([@款项类型]="期初余额","",N([@收入金额])-N([@项目支出])-N([@第三方支出]))</f>
        <v>0</v>
      </c>
      <c r="I3" s="5">
        <v>0</v>
      </c>
      <c r="J3" s="5">
        <v>4000</v>
      </c>
      <c r="K3" s="5">
        <v>0</v>
      </c>
      <c r="L3" s="5">
        <v>20000</v>
      </c>
      <c r="M3" s="5">
        <v>0</v>
      </c>
      <c r="N3" s="5">
        <v>0</v>
      </c>
      <c r="O3" s="5">
        <v>0</v>
      </c>
      <c r="P3" s="5">
        <v>0</v>
      </c>
      <c r="Q3" s="5">
        <f>N([@[苏薇]])+N([@[蒋家宁]])+N([@[朱潇潇/木雨]])+N([@[公共可支配]])+N([@[妹妹项目组]])+N([@[自研产品组]])+N([@[电商渠道组]])+N([@[AIGC组]])</f>
        <v>0</v>
      </c>
      <c r="R3" s="5">
        <f>IF([@款项类型]="期初余额",0,N([@可分配利润])-N([@分配合计]))</f>
        <v>0</v>
      </c>
      <c r="S3" t="s">
        <v>74</v>
      </c>
    </row>
    <row r="4" spans="1:19">
      <c r="A4">
        <v>2026</v>
      </c>
      <c r="B4" t="s">
        <v>3</v>
      </c>
      <c r="C4" t="s">
        <v>16</v>
      </c>
      <c r="D4" t="s">
        <v>75</v>
      </c>
      <c r="E4" s="5">
        <v>56000</v>
      </c>
      <c r="H4" s="5">
        <f>IF([@款项类型]="期初余额","",N([@收入金额])-N([@项目支出])-N([@第三方支出]))</f>
        <v>0</v>
      </c>
      <c r="I4" s="5">
        <v>20000</v>
      </c>
      <c r="J4" s="5">
        <v>16000</v>
      </c>
      <c r="K4" s="5">
        <v>20000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f>N([@[苏薇]])+N([@[蒋家宁]])+N([@[朱潇潇/木雨]])+N([@[公共可支配]])+N([@[妹妹项目组]])+N([@[自研产品组]])+N([@[电商渠道组]])+N([@[AIGC组]])</f>
        <v>0</v>
      </c>
      <c r="R4" s="5">
        <f>IF([@款项类型]="期初余额",0,N([@可分配利润])-N([@分配合计]))</f>
        <v>0</v>
      </c>
      <c r="S4" t="s">
        <v>74</v>
      </c>
    </row>
    <row r="5" spans="1:19">
      <c r="A5">
        <v>2026</v>
      </c>
      <c r="B5" t="s">
        <v>4</v>
      </c>
      <c r="C5" t="s">
        <v>16</v>
      </c>
      <c r="D5" t="s">
        <v>76</v>
      </c>
      <c r="E5" s="5">
        <v>1300000</v>
      </c>
      <c r="H5" s="5">
        <f>IF([@款项类型]="期初余额","",N([@收入金额])-N([@项目支出])-N([@第三方支出]))</f>
        <v>0</v>
      </c>
      <c r="I5" s="5">
        <v>110000</v>
      </c>
      <c r="J5" s="5">
        <v>100000</v>
      </c>
      <c r="K5" s="5">
        <v>960000</v>
      </c>
      <c r="L5" s="5">
        <v>10000</v>
      </c>
      <c r="M5" s="5">
        <v>0</v>
      </c>
      <c r="N5" s="5">
        <v>120000</v>
      </c>
      <c r="O5" s="5">
        <v>0</v>
      </c>
      <c r="P5" s="5">
        <v>0</v>
      </c>
      <c r="Q5" s="5">
        <f>N([@[苏薇]])+N([@[蒋家宁]])+N([@[朱潇潇/木雨]])+N([@[公共可支配]])+N([@[妹妹项目组]])+N([@[自研产品组]])+N([@[电商渠道组]])+N([@[AIGC组]])</f>
        <v>0</v>
      </c>
      <c r="R5" s="5">
        <f>IF([@款项类型]="期初余额",0,N([@可分配利润])-N([@分配合计]))</f>
        <v>0</v>
      </c>
      <c r="S5" t="s">
        <v>74</v>
      </c>
    </row>
    <row r="6" spans="1:19">
      <c r="A6">
        <v>2026</v>
      </c>
      <c r="C6" t="s">
        <v>16</v>
      </c>
      <c r="H6" s="5">
        <f>IF([@款项类型]="期初余额","",N([@收入金额])-N([@项目支出])-N([@第三方支出]))</f>
        <v>0</v>
      </c>
      <c r="Q6" s="5">
        <f>N([@[苏薇]])+N([@[蒋家宁]])+N([@[朱潇潇/木雨]])+N([@[公共可支配]])+N([@[妹妹项目组]])+N([@[自研产品组]])+N([@[电商渠道组]])+N([@[AIGC组]])</f>
        <v>0</v>
      </c>
      <c r="R6" s="5">
        <f>IF([@款项类型]="期初余额",0,N([@可分配利润])-N([@分配合计]))</f>
        <v>0</v>
      </c>
    </row>
    <row r="7" spans="1:19">
      <c r="A7">
        <v>2026</v>
      </c>
      <c r="C7" t="s">
        <v>16</v>
      </c>
      <c r="H7" s="5">
        <f>IF([@款项类型]="期初余额","",N([@收入金额])-N([@项目支出])-N([@第三方支出]))</f>
        <v>0</v>
      </c>
      <c r="Q7" s="5">
        <f>N([@[苏薇]])+N([@[蒋家宁]])+N([@[朱潇潇/木雨]])+N([@[公共可支配]])+N([@[妹妹项目组]])+N([@[自研产品组]])+N([@[电商渠道组]])+N([@[AIGC组]])</f>
        <v>0</v>
      </c>
      <c r="R7" s="5">
        <f>IF([@款项类型]="期初余额",0,N([@可分配利润])-N([@分配合计]))</f>
        <v>0</v>
      </c>
    </row>
    <row r="8" spans="1:19">
      <c r="A8">
        <v>2026</v>
      </c>
      <c r="C8" t="s">
        <v>16</v>
      </c>
      <c r="H8" s="5">
        <f>IF([@款项类型]="期初余额","",N([@收入金额])-N([@项目支出])-N([@第三方支出]))</f>
        <v>0</v>
      </c>
      <c r="Q8" s="5">
        <f>N([@[苏薇]])+N([@[蒋家宁]])+N([@[朱潇潇/木雨]])+N([@[公共可支配]])+N([@[妹妹项目组]])+N([@[自研产品组]])+N([@[电商渠道组]])+N([@[AIGC组]])</f>
        <v>0</v>
      </c>
      <c r="R8" s="5">
        <f>IF([@款项类型]="期初余额",0,N([@可分配利润])-N([@分配合计]))</f>
        <v>0</v>
      </c>
    </row>
    <row r="9" spans="1:19">
      <c r="A9">
        <v>2026</v>
      </c>
      <c r="C9" t="s">
        <v>16</v>
      </c>
      <c r="H9" s="5">
        <f>IF([@款项类型]="期初余额","",N([@收入金额])-N([@项目支出])-N([@第三方支出]))</f>
        <v>0</v>
      </c>
      <c r="Q9" s="5">
        <f>N([@[苏薇]])+N([@[蒋家宁]])+N([@[朱潇潇/木雨]])+N([@[公共可支配]])+N([@[妹妹项目组]])+N([@[自研产品组]])+N([@[电商渠道组]])+N([@[AIGC组]])</f>
        <v>0</v>
      </c>
      <c r="R9" s="5">
        <f>IF([@款项类型]="期初余额",0,N([@可分配利润])-N([@分配合计]))</f>
        <v>0</v>
      </c>
    </row>
    <row r="10" spans="1:19">
      <c r="A10">
        <v>2026</v>
      </c>
      <c r="C10" t="s">
        <v>16</v>
      </c>
      <c r="H10" s="5">
        <f>IF([@款项类型]="期初余额","",N([@收入金额])-N([@项目支出])-N([@第三方支出]))</f>
        <v>0</v>
      </c>
      <c r="Q10" s="5">
        <f>N([@[苏薇]])+N([@[蒋家宁]])+N([@[朱潇潇/木雨]])+N([@[公共可支配]])+N([@[妹妹项目组]])+N([@[自研产品组]])+N([@[电商渠道组]])+N([@[AIGC组]])</f>
        <v>0</v>
      </c>
      <c r="R10" s="5">
        <f>IF([@款项类型]="期初余额",0,N([@可分配利润])-N([@分配合计]))</f>
        <v>0</v>
      </c>
    </row>
    <row r="11" spans="1:19">
      <c r="A11">
        <v>2026</v>
      </c>
      <c r="C11" t="s">
        <v>16</v>
      </c>
      <c r="H11" s="5">
        <f>IF([@款项类型]="期初余额","",N([@收入金额])-N([@项目支出])-N([@第三方支出]))</f>
        <v>0</v>
      </c>
      <c r="Q11" s="5">
        <f>N([@[苏薇]])+N([@[蒋家宁]])+N([@[朱潇潇/木雨]])+N([@[公共可支配]])+N([@[妹妹项目组]])+N([@[自研产品组]])+N([@[电商渠道组]])+N([@[AIGC组]])</f>
        <v>0</v>
      </c>
      <c r="R11" s="5">
        <f>IF([@款项类型]="期初余额",0,N([@可分配利润])-N([@分配合计]))</f>
        <v>0</v>
      </c>
    </row>
    <row r="12" spans="1:19">
      <c r="A12">
        <v>2026</v>
      </c>
      <c r="C12" t="s">
        <v>16</v>
      </c>
      <c r="H12" s="5">
        <f>IF([@款项类型]="期初余额","",N([@收入金额])-N([@项目支出])-N([@第三方支出]))</f>
        <v>0</v>
      </c>
      <c r="Q12" s="5">
        <f>N([@[苏薇]])+N([@[蒋家宁]])+N([@[朱潇潇/木雨]])+N([@[公共可支配]])+N([@[妹妹项目组]])+N([@[自研产品组]])+N([@[电商渠道组]])+N([@[AIGC组]])</f>
        <v>0</v>
      </c>
      <c r="R12" s="5">
        <f>IF([@款项类型]="期初余额",0,N([@可分配利润])-N([@分配合计]))</f>
        <v>0</v>
      </c>
    </row>
    <row r="13" spans="1:19">
      <c r="A13">
        <v>2026</v>
      </c>
      <c r="C13" t="s">
        <v>16</v>
      </c>
      <c r="H13" s="5">
        <f>IF([@款项类型]="期初余额","",N([@收入金额])-N([@项目支出])-N([@第三方支出]))</f>
        <v>0</v>
      </c>
      <c r="Q13" s="5">
        <f>N([@[苏薇]])+N([@[蒋家宁]])+N([@[朱潇潇/木雨]])+N([@[公共可支配]])+N([@[妹妹项目组]])+N([@[自研产品组]])+N([@[电商渠道组]])+N([@[AIGC组]])</f>
        <v>0</v>
      </c>
      <c r="R13" s="5">
        <f>IF([@款项类型]="期初余额",0,N([@可分配利润])-N([@分配合计]))</f>
        <v>0</v>
      </c>
    </row>
    <row r="14" spans="1:19">
      <c r="A14">
        <v>2026</v>
      </c>
      <c r="C14" t="s">
        <v>16</v>
      </c>
      <c r="H14" s="5">
        <f>IF([@款项类型]="期初余额","",N([@收入金额])-N([@项目支出])-N([@第三方支出]))</f>
        <v>0</v>
      </c>
      <c r="Q14" s="5">
        <f>N([@[苏薇]])+N([@[蒋家宁]])+N([@[朱潇潇/木雨]])+N([@[公共可支配]])+N([@[妹妹项目组]])+N([@[自研产品组]])+N([@[电商渠道组]])+N([@[AIGC组]])</f>
        <v>0</v>
      </c>
      <c r="R14" s="5">
        <f>IF([@款项类型]="期初余额",0,N([@可分配利润])-N([@分配合计]))</f>
        <v>0</v>
      </c>
    </row>
    <row r="15" spans="1:19">
      <c r="A15">
        <v>2026</v>
      </c>
      <c r="C15" t="s">
        <v>16</v>
      </c>
      <c r="H15" s="5">
        <f>IF([@款项类型]="期初余额","",N([@收入金额])-N([@项目支出])-N([@第三方支出]))</f>
        <v>0</v>
      </c>
      <c r="Q15" s="5">
        <f>N([@[苏薇]])+N([@[蒋家宁]])+N([@[朱潇潇/木雨]])+N([@[公共可支配]])+N([@[妹妹项目组]])+N([@[自研产品组]])+N([@[电商渠道组]])+N([@[AIGC组]])</f>
        <v>0</v>
      </c>
      <c r="R15" s="5">
        <f>IF([@款项类型]="期初余额",0,N([@可分配利润])-N([@分配合计]))</f>
        <v>0</v>
      </c>
    </row>
    <row r="16" spans="1:19">
      <c r="A16">
        <v>2026</v>
      </c>
      <c r="C16" t="s">
        <v>16</v>
      </c>
      <c r="H16" s="5">
        <f>IF([@款项类型]="期初余额","",N([@收入金额])-N([@项目支出])-N([@第三方支出]))</f>
        <v>0</v>
      </c>
      <c r="Q16" s="5">
        <f>N([@[苏薇]])+N([@[蒋家宁]])+N([@[朱潇潇/木雨]])+N([@[公共可支配]])+N([@[妹妹项目组]])+N([@[自研产品组]])+N([@[电商渠道组]])+N([@[AIGC组]])</f>
        <v>0</v>
      </c>
      <c r="R16" s="5">
        <f>IF([@款项类型]="期初余额",0,N([@可分配利润])-N([@分配合计]))</f>
        <v>0</v>
      </c>
    </row>
    <row r="17" spans="1:18">
      <c r="A17">
        <v>2026</v>
      </c>
      <c r="C17" t="s">
        <v>16</v>
      </c>
      <c r="H17" s="5">
        <f>IF([@款项类型]="期初余额","",N([@收入金额])-N([@项目支出])-N([@第三方支出]))</f>
        <v>0</v>
      </c>
      <c r="Q17" s="5">
        <f>N([@[苏薇]])+N([@[蒋家宁]])+N([@[朱潇潇/木雨]])+N([@[公共可支配]])+N([@[妹妹项目组]])+N([@[自研产品组]])+N([@[电商渠道组]])+N([@[AIGC组]])</f>
        <v>0</v>
      </c>
      <c r="R17" s="5">
        <f>IF([@款项类型]="期初余额",0,N([@可分配利润])-N([@分配合计]))</f>
        <v>0</v>
      </c>
    </row>
    <row r="18" spans="1:18">
      <c r="A18">
        <v>2026</v>
      </c>
      <c r="C18" t="s">
        <v>16</v>
      </c>
      <c r="H18" s="5">
        <f>IF([@款项类型]="期初余额","",N([@收入金额])-N([@项目支出])-N([@第三方支出]))</f>
        <v>0</v>
      </c>
      <c r="Q18" s="5">
        <f>N([@[苏薇]])+N([@[蒋家宁]])+N([@[朱潇潇/木雨]])+N([@[公共可支配]])+N([@[妹妹项目组]])+N([@[自研产品组]])+N([@[电商渠道组]])+N([@[AIGC组]])</f>
        <v>0</v>
      </c>
      <c r="R18" s="5">
        <f>IF([@款项类型]="期初余额",0,N([@可分配利润])-N([@分配合计]))</f>
        <v>0</v>
      </c>
    </row>
    <row r="19" spans="1:18">
      <c r="A19">
        <v>2026</v>
      </c>
      <c r="C19" t="s">
        <v>16</v>
      </c>
      <c r="H19" s="5">
        <f>IF([@款项类型]="期初余额","",N([@收入金额])-N([@项目支出])-N([@第三方支出]))</f>
        <v>0</v>
      </c>
      <c r="Q19" s="5">
        <f>N([@[苏薇]])+N([@[蒋家宁]])+N([@[朱潇潇/木雨]])+N([@[公共可支配]])+N([@[妹妹项目组]])+N([@[自研产品组]])+N([@[电商渠道组]])+N([@[AIGC组]])</f>
        <v>0</v>
      </c>
      <c r="R19" s="5">
        <f>IF([@款项类型]="期初余额",0,N([@可分配利润])-N([@分配合计]))</f>
        <v>0</v>
      </c>
    </row>
    <row r="20" spans="1:18">
      <c r="A20">
        <v>2026</v>
      </c>
      <c r="C20" t="s">
        <v>16</v>
      </c>
      <c r="H20" s="5">
        <f>IF([@款项类型]="期初余额","",N([@收入金额])-N([@项目支出])-N([@第三方支出]))</f>
        <v>0</v>
      </c>
      <c r="Q20" s="5">
        <f>N([@[苏薇]])+N([@[蒋家宁]])+N([@[朱潇潇/木雨]])+N([@[公共可支配]])+N([@[妹妹项目组]])+N([@[自研产品组]])+N([@[电商渠道组]])+N([@[AIGC组]])</f>
        <v>0</v>
      </c>
      <c r="R20" s="5">
        <f>IF([@款项类型]="期初余额",0,N([@可分配利润])-N([@分配合计]))</f>
        <v>0</v>
      </c>
    </row>
    <row r="21" spans="1:18">
      <c r="A21">
        <v>2026</v>
      </c>
      <c r="C21" t="s">
        <v>16</v>
      </c>
      <c r="H21" s="5">
        <f>IF([@款项类型]="期初余额","",N([@收入金额])-N([@项目支出])-N([@第三方支出]))</f>
        <v>0</v>
      </c>
      <c r="Q21" s="5">
        <f>N([@[苏薇]])+N([@[蒋家宁]])+N([@[朱潇潇/木雨]])+N([@[公共可支配]])+N([@[妹妹项目组]])+N([@[自研产品组]])+N([@[电商渠道组]])+N([@[AIGC组]])</f>
        <v>0</v>
      </c>
      <c r="R21" s="5">
        <f>IF([@款项类型]="期初余额",0,N([@可分配利润])-N([@分配合计]))</f>
        <v>0</v>
      </c>
    </row>
    <row r="22" spans="1:18">
      <c r="A22">
        <v>2026</v>
      </c>
      <c r="C22" t="s">
        <v>16</v>
      </c>
      <c r="H22" s="5">
        <f>IF([@款项类型]="期初余额","",N([@收入金额])-N([@项目支出])-N([@第三方支出]))</f>
        <v>0</v>
      </c>
      <c r="Q22" s="5">
        <f>N([@[苏薇]])+N([@[蒋家宁]])+N([@[朱潇潇/木雨]])+N([@[公共可支配]])+N([@[妹妹项目组]])+N([@[自研产品组]])+N([@[电商渠道组]])+N([@[AIGC组]])</f>
        <v>0</v>
      </c>
      <c r="R22" s="5">
        <f>IF([@款项类型]="期初余额",0,N([@可分配利润])-N([@分配合计]))</f>
        <v>0</v>
      </c>
    </row>
    <row r="23" spans="1:18">
      <c r="A23">
        <v>2026</v>
      </c>
      <c r="C23" t="s">
        <v>16</v>
      </c>
      <c r="H23" s="5">
        <f>IF([@款项类型]="期初余额","",N([@收入金额])-N([@项目支出])-N([@第三方支出]))</f>
        <v>0</v>
      </c>
      <c r="Q23" s="5">
        <f>N([@[苏薇]])+N([@[蒋家宁]])+N([@[朱潇潇/木雨]])+N([@[公共可支配]])+N([@[妹妹项目组]])+N([@[自研产品组]])+N([@[电商渠道组]])+N([@[AIGC组]])</f>
        <v>0</v>
      </c>
      <c r="R23" s="5">
        <f>IF([@款项类型]="期初余额",0,N([@可分配利润])-N([@分配合计]))</f>
        <v>0</v>
      </c>
    </row>
    <row r="24" spans="1:18">
      <c r="A24">
        <v>2026</v>
      </c>
      <c r="C24" t="s">
        <v>16</v>
      </c>
      <c r="H24" s="5">
        <f>IF([@款项类型]="期初余额","",N([@收入金额])-N([@项目支出])-N([@第三方支出]))</f>
        <v>0</v>
      </c>
      <c r="Q24" s="5">
        <f>N([@[苏薇]])+N([@[蒋家宁]])+N([@[朱潇潇/木雨]])+N([@[公共可支配]])+N([@[妹妹项目组]])+N([@[自研产品组]])+N([@[电商渠道组]])+N([@[AIGC组]])</f>
        <v>0</v>
      </c>
      <c r="R24" s="5">
        <f>IF([@款项类型]="期初余额",0,N([@可分配利润])-N([@分配合计]))</f>
        <v>0</v>
      </c>
    </row>
    <row r="25" spans="1:18">
      <c r="A25">
        <v>2026</v>
      </c>
      <c r="C25" t="s">
        <v>16</v>
      </c>
      <c r="H25" s="5">
        <f>IF([@款项类型]="期初余额","",N([@收入金额])-N([@项目支出])-N([@第三方支出]))</f>
        <v>0</v>
      </c>
      <c r="Q25" s="5">
        <f>N([@[苏薇]])+N([@[蒋家宁]])+N([@[朱潇潇/木雨]])+N([@[公共可支配]])+N([@[妹妹项目组]])+N([@[自研产品组]])+N([@[电商渠道组]])+N([@[AIGC组]])</f>
        <v>0</v>
      </c>
      <c r="R25" s="5">
        <f>IF([@款项类型]="期初余额",0,N([@可分配利润])-N([@分配合计]))</f>
        <v>0</v>
      </c>
    </row>
    <row r="26" spans="1:18">
      <c r="A26">
        <v>2026</v>
      </c>
      <c r="C26" t="s">
        <v>16</v>
      </c>
      <c r="H26" s="5">
        <f>IF([@款项类型]="期初余额","",N([@收入金额])-N([@项目支出])-N([@第三方支出]))</f>
        <v>0</v>
      </c>
      <c r="Q26" s="5">
        <f>N([@[苏薇]])+N([@[蒋家宁]])+N([@[朱潇潇/木雨]])+N([@[公共可支配]])+N([@[妹妹项目组]])+N([@[自研产品组]])+N([@[电商渠道组]])+N([@[AIGC组]])</f>
        <v>0</v>
      </c>
      <c r="R26" s="5">
        <f>IF([@款项类型]="期初余额",0,N([@可分配利润])-N([@分配合计]))</f>
        <v>0</v>
      </c>
    </row>
    <row r="27" spans="1:18">
      <c r="A27">
        <v>2026</v>
      </c>
      <c r="C27" t="s">
        <v>16</v>
      </c>
      <c r="H27" s="5">
        <f>IF([@款项类型]="期初余额","",N([@收入金额])-N([@项目支出])-N([@第三方支出]))</f>
        <v>0</v>
      </c>
      <c r="Q27" s="5">
        <f>N([@[苏薇]])+N([@[蒋家宁]])+N([@[朱潇潇/木雨]])+N([@[公共可支配]])+N([@[妹妹项目组]])+N([@[自研产品组]])+N([@[电商渠道组]])+N([@[AIGC组]])</f>
        <v>0</v>
      </c>
      <c r="R27" s="5">
        <f>IF([@款项类型]="期初余额",0,N([@可分配利润])-N([@分配合计]))</f>
        <v>0</v>
      </c>
    </row>
    <row r="28" spans="1:18">
      <c r="A28">
        <v>2026</v>
      </c>
      <c r="C28" t="s">
        <v>16</v>
      </c>
      <c r="H28" s="5">
        <f>IF([@款项类型]="期初余额","",N([@收入金额])-N([@项目支出])-N([@第三方支出]))</f>
        <v>0</v>
      </c>
      <c r="Q28" s="5">
        <f>N([@[苏薇]])+N([@[蒋家宁]])+N([@[朱潇潇/木雨]])+N([@[公共可支配]])+N([@[妹妹项目组]])+N([@[自研产品组]])+N([@[电商渠道组]])+N([@[AIGC组]])</f>
        <v>0</v>
      </c>
      <c r="R28" s="5">
        <f>IF([@款项类型]="期初余额",0,N([@可分配利润])-N([@分配合计]))</f>
        <v>0</v>
      </c>
    </row>
    <row r="29" spans="1:18">
      <c r="A29">
        <v>2026</v>
      </c>
      <c r="C29" t="s">
        <v>16</v>
      </c>
      <c r="H29" s="5">
        <f>IF([@款项类型]="期初余额","",N([@收入金额])-N([@项目支出])-N([@第三方支出]))</f>
        <v>0</v>
      </c>
      <c r="Q29" s="5">
        <f>N([@[苏薇]])+N([@[蒋家宁]])+N([@[朱潇潇/木雨]])+N([@[公共可支配]])+N([@[妹妹项目组]])+N([@[自研产品组]])+N([@[电商渠道组]])+N([@[AIGC组]])</f>
        <v>0</v>
      </c>
      <c r="R29" s="5">
        <f>IF([@款项类型]="期初余额",0,N([@可分配利润])-N([@分配合计]))</f>
        <v>0</v>
      </c>
    </row>
    <row r="30" spans="1:18">
      <c r="A30">
        <v>2026</v>
      </c>
      <c r="C30" t="s">
        <v>16</v>
      </c>
      <c r="H30" s="5">
        <f>IF([@款项类型]="期初余额","",N([@收入金额])-N([@项目支出])-N([@第三方支出]))</f>
        <v>0</v>
      </c>
      <c r="Q30" s="5">
        <f>N([@[苏薇]])+N([@[蒋家宁]])+N([@[朱潇潇/木雨]])+N([@[公共可支配]])+N([@[妹妹项目组]])+N([@[自研产品组]])+N([@[电商渠道组]])+N([@[AIGC组]])</f>
        <v>0</v>
      </c>
      <c r="R30" s="5">
        <f>IF([@款项类型]="期初余额",0,N([@可分配利润])-N([@分配合计]))</f>
        <v>0</v>
      </c>
    </row>
    <row r="31" spans="1:18">
      <c r="A31">
        <v>2026</v>
      </c>
      <c r="C31" t="s">
        <v>16</v>
      </c>
      <c r="H31" s="5">
        <f>IF([@款项类型]="期初余额","",N([@收入金额])-N([@项目支出])-N([@第三方支出]))</f>
        <v>0</v>
      </c>
      <c r="Q31" s="5">
        <f>N([@[苏薇]])+N([@[蒋家宁]])+N([@[朱潇潇/木雨]])+N([@[公共可支配]])+N([@[妹妹项目组]])+N([@[自研产品组]])+N([@[电商渠道组]])+N([@[AIGC组]])</f>
        <v>0</v>
      </c>
      <c r="R31" s="5">
        <f>IF([@款项类型]="期初余额",0,N([@可分配利润])-N([@分配合计]))</f>
        <v>0</v>
      </c>
    </row>
    <row r="32" spans="1:18">
      <c r="A32">
        <v>2026</v>
      </c>
      <c r="C32" t="s">
        <v>16</v>
      </c>
      <c r="H32" s="5">
        <f>IF([@款项类型]="期初余额","",N([@收入金额])-N([@项目支出])-N([@第三方支出]))</f>
        <v>0</v>
      </c>
      <c r="Q32" s="5">
        <f>N([@[苏薇]])+N([@[蒋家宁]])+N([@[朱潇潇/木雨]])+N([@[公共可支配]])+N([@[妹妹项目组]])+N([@[自研产品组]])+N([@[电商渠道组]])+N([@[AIGC组]])</f>
        <v>0</v>
      </c>
      <c r="R32" s="5">
        <f>IF([@款项类型]="期初余额",0,N([@可分配利润])-N([@分配合计]))</f>
        <v>0</v>
      </c>
    </row>
    <row r="33" spans="1:18">
      <c r="A33">
        <v>2026</v>
      </c>
      <c r="C33" t="s">
        <v>16</v>
      </c>
      <c r="H33" s="5">
        <f>IF([@款项类型]="期初余额","",N([@收入金额])-N([@项目支出])-N([@第三方支出]))</f>
        <v>0</v>
      </c>
      <c r="Q33" s="5">
        <f>N([@[苏薇]])+N([@[蒋家宁]])+N([@[朱潇潇/木雨]])+N([@[公共可支配]])+N([@[妹妹项目组]])+N([@[自研产品组]])+N([@[电商渠道组]])+N([@[AIGC组]])</f>
        <v>0</v>
      </c>
      <c r="R33" s="5">
        <f>IF([@款项类型]="期初余额",0,N([@可分配利润])-N([@分配合计]))</f>
        <v>0</v>
      </c>
    </row>
    <row r="34" spans="1:18">
      <c r="A34">
        <v>2026</v>
      </c>
      <c r="C34" t="s">
        <v>16</v>
      </c>
      <c r="H34" s="5">
        <f>IF([@款项类型]="期初余额","",N([@收入金额])-N([@项目支出])-N([@第三方支出]))</f>
        <v>0</v>
      </c>
      <c r="Q34" s="5">
        <f>N([@[苏薇]])+N([@[蒋家宁]])+N([@[朱潇潇/木雨]])+N([@[公共可支配]])+N([@[妹妹项目组]])+N([@[自研产品组]])+N([@[电商渠道组]])+N([@[AIGC组]])</f>
        <v>0</v>
      </c>
      <c r="R34" s="5">
        <f>IF([@款项类型]="期初余额",0,N([@可分配利润])-N([@分配合计]))</f>
        <v>0</v>
      </c>
    </row>
    <row r="35" spans="1:18">
      <c r="A35">
        <v>2026</v>
      </c>
      <c r="C35" t="s">
        <v>16</v>
      </c>
      <c r="H35" s="5">
        <f>IF([@款项类型]="期初余额","",N([@收入金额])-N([@项目支出])-N([@第三方支出]))</f>
        <v>0</v>
      </c>
      <c r="Q35" s="5">
        <f>N([@[苏薇]])+N([@[蒋家宁]])+N([@[朱潇潇/木雨]])+N([@[公共可支配]])+N([@[妹妹项目组]])+N([@[自研产品组]])+N([@[电商渠道组]])+N([@[AIGC组]])</f>
        <v>0</v>
      </c>
      <c r="R35" s="5">
        <f>IF([@款项类型]="期初余额",0,N([@可分配利润])-N([@分配合计]))</f>
        <v>0</v>
      </c>
    </row>
  </sheetData>
  <conditionalFormatting sqref="R2:R35">
    <cfRule type="cellIs" dxfId="0" priority="1" operator="notBetween">
      <formula>-0.01</formula>
      <formula>0.01</formula>
    </cfRule>
  </conditionalFormatting>
  <dataValidations count="2">
    <dataValidation type="list" allowBlank="1" showInputMessage="1" showErrorMessage="1" sqref="B2:B35">
      <formula1>list_月份</formula1>
    </dataValidation>
    <dataValidation type="list" allowBlank="1" showInputMessage="1" showErrorMessage="1" sqref="C2:C35">
      <formula1>list_款项类型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G78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3" width="10.7109375" customWidth="1"/>
    <col min="4" max="4" width="12.7109375" customWidth="1"/>
    <col min="5" max="5" width="24.7109375" customWidth="1"/>
    <col min="6" max="6" width="14.7109375" style="5" customWidth="1"/>
    <col min="7" max="7" width="36.7109375" customWidth="1"/>
  </cols>
  <sheetData>
    <row r="1" spans="1:7">
      <c r="A1" t="s">
        <v>38</v>
      </c>
      <c r="B1" t="s">
        <v>61</v>
      </c>
      <c r="C1" t="s">
        <v>0</v>
      </c>
      <c r="D1" t="s">
        <v>77</v>
      </c>
      <c r="E1" t="s">
        <v>78</v>
      </c>
      <c r="F1" s="5" t="s">
        <v>79</v>
      </c>
      <c r="G1" t="s">
        <v>69</v>
      </c>
    </row>
    <row r="2" spans="1:7">
      <c r="A2" t="s">
        <v>39</v>
      </c>
      <c r="B2">
        <v>2026</v>
      </c>
      <c r="C2" t="s">
        <v>2</v>
      </c>
      <c r="D2" t="s">
        <v>33</v>
      </c>
      <c r="E2" t="s">
        <v>80</v>
      </c>
      <c r="F2" s="5">
        <v>112858.74</v>
      </c>
      <c r="G2" t="s">
        <v>81</v>
      </c>
    </row>
    <row r="3" spans="1:7">
      <c r="A3" t="s">
        <v>39</v>
      </c>
      <c r="B3">
        <v>2026</v>
      </c>
      <c r="C3" t="s">
        <v>5</v>
      </c>
      <c r="D3" t="s">
        <v>33</v>
      </c>
      <c r="E3" t="s">
        <v>80</v>
      </c>
      <c r="F3" s="5">
        <v>73233.89</v>
      </c>
      <c r="G3" t="s">
        <v>81</v>
      </c>
    </row>
    <row r="4" spans="1:7">
      <c r="A4" t="s">
        <v>39</v>
      </c>
      <c r="B4">
        <v>2026</v>
      </c>
      <c r="C4" t="s">
        <v>6</v>
      </c>
      <c r="D4" t="s">
        <v>33</v>
      </c>
      <c r="E4" t="s">
        <v>80</v>
      </c>
      <c r="F4" s="5">
        <v>11660.3773584906</v>
      </c>
      <c r="G4" t="s">
        <v>81</v>
      </c>
    </row>
    <row r="5" spans="1:7">
      <c r="A5" t="s">
        <v>39</v>
      </c>
      <c r="B5">
        <v>2026</v>
      </c>
      <c r="C5" t="s">
        <v>2</v>
      </c>
      <c r="D5" t="s">
        <v>33</v>
      </c>
      <c r="E5" t="s">
        <v>82</v>
      </c>
      <c r="F5" s="5">
        <v>6750.65</v>
      </c>
      <c r="G5" t="s">
        <v>81</v>
      </c>
    </row>
    <row r="6" spans="1:7">
      <c r="A6" t="s">
        <v>39</v>
      </c>
      <c r="B6">
        <v>2026</v>
      </c>
      <c r="C6" t="s">
        <v>5</v>
      </c>
      <c r="D6" t="s">
        <v>33</v>
      </c>
      <c r="E6" t="s">
        <v>82</v>
      </c>
      <c r="F6" s="5">
        <v>4394.03</v>
      </c>
      <c r="G6" t="s">
        <v>81</v>
      </c>
    </row>
    <row r="7" spans="1:7">
      <c r="A7" t="s">
        <v>39</v>
      </c>
      <c r="B7">
        <v>2026</v>
      </c>
      <c r="C7" t="s">
        <v>6</v>
      </c>
      <c r="D7" t="s">
        <v>33</v>
      </c>
      <c r="E7" t="s">
        <v>82</v>
      </c>
      <c r="F7" s="5">
        <v>699.6226415094339</v>
      </c>
      <c r="G7" t="s">
        <v>81</v>
      </c>
    </row>
    <row r="8" spans="1:7">
      <c r="A8" t="s">
        <v>39</v>
      </c>
      <c r="B8">
        <v>2026</v>
      </c>
      <c r="C8" t="s">
        <v>4</v>
      </c>
      <c r="D8" t="s">
        <v>33</v>
      </c>
      <c r="E8" t="s">
        <v>83</v>
      </c>
      <c r="F8" s="5">
        <v>891.51</v>
      </c>
      <c r="G8" t="s">
        <v>81</v>
      </c>
    </row>
    <row r="9" spans="1:7">
      <c r="A9" t="s">
        <v>39</v>
      </c>
      <c r="B9">
        <v>2026</v>
      </c>
      <c r="C9" t="s">
        <v>5</v>
      </c>
      <c r="D9" t="s">
        <v>33</v>
      </c>
      <c r="E9" t="s">
        <v>83</v>
      </c>
      <c r="F9" s="5">
        <v>183.9622635</v>
      </c>
      <c r="G9" t="s">
        <v>81</v>
      </c>
    </row>
    <row r="10" spans="1:7">
      <c r="A10" t="s">
        <v>39</v>
      </c>
      <c r="B10">
        <v>2026</v>
      </c>
      <c r="C10" t="s">
        <v>6</v>
      </c>
      <c r="D10" t="s">
        <v>33</v>
      </c>
      <c r="E10" t="s">
        <v>83</v>
      </c>
      <c r="F10" s="5">
        <v>29.1509433962264</v>
      </c>
      <c r="G10" t="s">
        <v>81</v>
      </c>
    </row>
    <row r="11" spans="1:7">
      <c r="A11" t="s">
        <v>39</v>
      </c>
      <c r="B11">
        <v>2026</v>
      </c>
      <c r="C11" t="s">
        <v>6</v>
      </c>
      <c r="D11" t="s">
        <v>33</v>
      </c>
      <c r="E11" t="s">
        <v>84</v>
      </c>
      <c r="F11" s="5">
        <v>74061.254</v>
      </c>
      <c r="G11" t="s">
        <v>81</v>
      </c>
    </row>
    <row r="12" spans="1:7">
      <c r="A12" t="s">
        <v>39</v>
      </c>
      <c r="B12">
        <v>2026</v>
      </c>
      <c r="C12" t="s">
        <v>4</v>
      </c>
      <c r="D12" t="s">
        <v>33</v>
      </c>
      <c r="E12" t="s">
        <v>37</v>
      </c>
      <c r="F12" s="5">
        <v>-19.2</v>
      </c>
      <c r="G12" t="s">
        <v>81</v>
      </c>
    </row>
    <row r="13" spans="1:7">
      <c r="A13" t="s">
        <v>39</v>
      </c>
      <c r="B13">
        <v>2026</v>
      </c>
      <c r="C13" t="s">
        <v>5</v>
      </c>
      <c r="D13" t="s">
        <v>33</v>
      </c>
      <c r="E13" t="s">
        <v>37</v>
      </c>
      <c r="F13" s="5">
        <v>110000</v>
      </c>
      <c r="G13" t="s">
        <v>81</v>
      </c>
    </row>
    <row r="14" spans="1:7">
      <c r="A14" t="s">
        <v>39</v>
      </c>
      <c r="B14">
        <v>2026</v>
      </c>
      <c r="C14" t="s">
        <v>1</v>
      </c>
      <c r="D14" t="s">
        <v>34</v>
      </c>
      <c r="E14" t="s">
        <v>85</v>
      </c>
      <c r="F14" s="5">
        <v>4000</v>
      </c>
      <c r="G14" t="s">
        <v>81</v>
      </c>
    </row>
    <row r="15" spans="1:7">
      <c r="A15" t="s">
        <v>39</v>
      </c>
      <c r="B15">
        <v>2026</v>
      </c>
      <c r="C15" t="s">
        <v>2</v>
      </c>
      <c r="D15" t="s">
        <v>34</v>
      </c>
      <c r="E15" t="s">
        <v>85</v>
      </c>
      <c r="F15" s="5">
        <v>2000</v>
      </c>
      <c r="G15" t="s">
        <v>81</v>
      </c>
    </row>
    <row r="16" spans="1:7">
      <c r="A16" t="s">
        <v>39</v>
      </c>
      <c r="B16">
        <v>2026</v>
      </c>
      <c r="C16" t="s">
        <v>3</v>
      </c>
      <c r="D16" t="s">
        <v>34</v>
      </c>
      <c r="E16" t="s">
        <v>85</v>
      </c>
      <c r="F16" s="5">
        <v>2000</v>
      </c>
      <c r="G16" t="s">
        <v>81</v>
      </c>
    </row>
    <row r="17" spans="1:7">
      <c r="A17" t="s">
        <v>39</v>
      </c>
      <c r="B17">
        <v>2026</v>
      </c>
      <c r="C17" t="s">
        <v>4</v>
      </c>
      <c r="D17" t="s">
        <v>34</v>
      </c>
      <c r="E17" t="s">
        <v>85</v>
      </c>
      <c r="F17" s="5">
        <v>2000</v>
      </c>
      <c r="G17" t="s">
        <v>81</v>
      </c>
    </row>
    <row r="18" spans="1:7">
      <c r="A18" t="s">
        <v>39</v>
      </c>
      <c r="B18">
        <v>2026</v>
      </c>
      <c r="C18" t="s">
        <v>1</v>
      </c>
      <c r="D18" t="s">
        <v>34</v>
      </c>
      <c r="E18" t="s">
        <v>86</v>
      </c>
      <c r="F18" s="5">
        <v>29800</v>
      </c>
      <c r="G18" t="s">
        <v>81</v>
      </c>
    </row>
    <row r="19" spans="1:7">
      <c r="A19" t="s">
        <v>39</v>
      </c>
      <c r="B19">
        <v>2026</v>
      </c>
      <c r="C19" t="s">
        <v>1</v>
      </c>
      <c r="D19" t="s">
        <v>34</v>
      </c>
      <c r="E19" t="s">
        <v>87</v>
      </c>
      <c r="F19" s="5">
        <v>1600</v>
      </c>
      <c r="G19" t="s">
        <v>81</v>
      </c>
    </row>
    <row r="20" spans="1:7">
      <c r="A20" t="s">
        <v>39</v>
      </c>
      <c r="B20">
        <v>2026</v>
      </c>
      <c r="C20" t="s">
        <v>3</v>
      </c>
      <c r="D20" t="s">
        <v>35</v>
      </c>
      <c r="E20" t="s">
        <v>88</v>
      </c>
      <c r="F20" s="5">
        <v>3426.44</v>
      </c>
      <c r="G20" t="s">
        <v>81</v>
      </c>
    </row>
    <row r="21" spans="1:7">
      <c r="A21" t="s">
        <v>39</v>
      </c>
      <c r="B21">
        <v>2026</v>
      </c>
      <c r="C21" t="s">
        <v>4</v>
      </c>
      <c r="D21" t="s">
        <v>35</v>
      </c>
      <c r="E21" t="s">
        <v>88</v>
      </c>
      <c r="F21" s="5">
        <v>2752</v>
      </c>
      <c r="G21" t="s">
        <v>81</v>
      </c>
    </row>
    <row r="22" spans="1:7">
      <c r="A22" t="s">
        <v>39</v>
      </c>
      <c r="B22">
        <v>2026</v>
      </c>
      <c r="C22" t="s">
        <v>5</v>
      </c>
      <c r="D22" t="s">
        <v>35</v>
      </c>
      <c r="E22" t="s">
        <v>88</v>
      </c>
      <c r="F22" s="5">
        <v>11473.27</v>
      </c>
      <c r="G22" t="s">
        <v>81</v>
      </c>
    </row>
    <row r="23" spans="1:7">
      <c r="A23" t="s">
        <v>39</v>
      </c>
      <c r="B23">
        <v>2026</v>
      </c>
      <c r="C23" t="s">
        <v>5</v>
      </c>
      <c r="D23" t="s">
        <v>35</v>
      </c>
      <c r="E23" t="s">
        <v>89</v>
      </c>
      <c r="F23" s="5">
        <v>1657</v>
      </c>
      <c r="G23" t="s">
        <v>81</v>
      </c>
    </row>
    <row r="24" spans="1:7">
      <c r="A24" t="s">
        <v>39</v>
      </c>
      <c r="B24">
        <v>2026</v>
      </c>
      <c r="C24" t="s">
        <v>2</v>
      </c>
      <c r="D24" t="s">
        <v>35</v>
      </c>
      <c r="E24" t="s">
        <v>90</v>
      </c>
      <c r="F24" s="5">
        <v>867.2</v>
      </c>
      <c r="G24" t="s">
        <v>81</v>
      </c>
    </row>
    <row r="25" spans="1:7">
      <c r="A25" t="s">
        <v>39</v>
      </c>
      <c r="B25">
        <v>2026</v>
      </c>
      <c r="C25" t="s">
        <v>4</v>
      </c>
      <c r="D25" t="s">
        <v>35</v>
      </c>
      <c r="E25" t="s">
        <v>90</v>
      </c>
      <c r="F25" s="5">
        <v>2338.35</v>
      </c>
      <c r="G25" t="s">
        <v>81</v>
      </c>
    </row>
    <row r="26" spans="1:7">
      <c r="A26" t="s">
        <v>39</v>
      </c>
      <c r="B26">
        <v>2026</v>
      </c>
      <c r="C26" t="s">
        <v>5</v>
      </c>
      <c r="D26" t="s">
        <v>35</v>
      </c>
      <c r="E26" t="s">
        <v>90</v>
      </c>
      <c r="F26" s="5">
        <v>337</v>
      </c>
      <c r="G26" t="s">
        <v>81</v>
      </c>
    </row>
    <row r="27" spans="1:7">
      <c r="A27" t="s">
        <v>39</v>
      </c>
      <c r="B27">
        <v>2026</v>
      </c>
      <c r="C27" t="s">
        <v>3</v>
      </c>
      <c r="D27" t="s">
        <v>35</v>
      </c>
      <c r="E27" t="s">
        <v>91</v>
      </c>
      <c r="F27" s="5">
        <v>5199</v>
      </c>
      <c r="G27" t="s">
        <v>81</v>
      </c>
    </row>
    <row r="28" spans="1:7">
      <c r="A28" t="s">
        <v>39</v>
      </c>
      <c r="B28">
        <v>2026</v>
      </c>
      <c r="C28" t="s">
        <v>5</v>
      </c>
      <c r="D28" t="s">
        <v>35</v>
      </c>
      <c r="E28" t="s">
        <v>91</v>
      </c>
      <c r="F28" s="5">
        <v>31697.7</v>
      </c>
      <c r="G28" t="s">
        <v>81</v>
      </c>
    </row>
    <row r="29" spans="1:7">
      <c r="A29" t="s">
        <v>39</v>
      </c>
      <c r="B29">
        <v>2026</v>
      </c>
      <c r="C29" t="s">
        <v>1</v>
      </c>
      <c r="D29" t="s">
        <v>35</v>
      </c>
      <c r="E29" t="s">
        <v>92</v>
      </c>
      <c r="F29" s="5">
        <v>32.95</v>
      </c>
      <c r="G29" t="s">
        <v>81</v>
      </c>
    </row>
    <row r="30" spans="1:7">
      <c r="A30" t="s">
        <v>39</v>
      </c>
      <c r="B30">
        <v>2026</v>
      </c>
      <c r="C30" t="s">
        <v>2</v>
      </c>
      <c r="D30" t="s">
        <v>35</v>
      </c>
      <c r="E30" t="s">
        <v>92</v>
      </c>
      <c r="F30" s="5">
        <v>35.25</v>
      </c>
      <c r="G30" t="s">
        <v>81</v>
      </c>
    </row>
    <row r="31" spans="1:7">
      <c r="A31" t="s">
        <v>39</v>
      </c>
      <c r="B31">
        <v>2026</v>
      </c>
      <c r="C31" t="s">
        <v>3</v>
      </c>
      <c r="D31" t="s">
        <v>35</v>
      </c>
      <c r="E31" t="s">
        <v>92</v>
      </c>
      <c r="F31" s="5">
        <v>-174.16</v>
      </c>
      <c r="G31" t="s">
        <v>81</v>
      </c>
    </row>
    <row r="32" spans="1:7">
      <c r="A32" t="s">
        <v>39</v>
      </c>
      <c r="B32">
        <v>2026</v>
      </c>
      <c r="C32" t="s">
        <v>4</v>
      </c>
      <c r="D32" t="s">
        <v>35</v>
      </c>
      <c r="E32" t="s">
        <v>92</v>
      </c>
      <c r="F32" s="5">
        <v>27</v>
      </c>
      <c r="G32" t="s">
        <v>81</v>
      </c>
    </row>
    <row r="33" spans="1:7">
      <c r="A33" t="s">
        <v>39</v>
      </c>
      <c r="B33">
        <v>2026</v>
      </c>
      <c r="C33" t="s">
        <v>5</v>
      </c>
      <c r="D33" t="s">
        <v>35</v>
      </c>
      <c r="E33" t="s">
        <v>92</v>
      </c>
      <c r="F33" s="5">
        <v>27.56</v>
      </c>
      <c r="G33" t="s">
        <v>81</v>
      </c>
    </row>
    <row r="34" spans="1:7">
      <c r="A34" t="s">
        <v>40</v>
      </c>
      <c r="B34">
        <v>2026</v>
      </c>
      <c r="C34" t="s">
        <v>1</v>
      </c>
      <c r="D34" t="s">
        <v>33</v>
      </c>
      <c r="E34" t="s">
        <v>80</v>
      </c>
      <c r="F34" s="5">
        <v>85047.1698113208</v>
      </c>
      <c r="G34" t="s">
        <v>93</v>
      </c>
    </row>
    <row r="35" spans="1:7">
      <c r="A35" t="s">
        <v>40</v>
      </c>
      <c r="B35">
        <v>2026</v>
      </c>
      <c r="C35" t="s">
        <v>1</v>
      </c>
      <c r="D35" t="s">
        <v>33</v>
      </c>
      <c r="E35" t="s">
        <v>82</v>
      </c>
      <c r="F35" s="5">
        <v>5102.83018867925</v>
      </c>
      <c r="G35" t="s">
        <v>93</v>
      </c>
    </row>
    <row r="36" spans="1:7">
      <c r="A36" t="s">
        <v>40</v>
      </c>
      <c r="B36">
        <v>2026</v>
      </c>
      <c r="C36" t="s">
        <v>1</v>
      </c>
      <c r="D36" t="s">
        <v>33</v>
      </c>
      <c r="E36" t="s">
        <v>83</v>
      </c>
      <c r="F36" s="5">
        <v>961.5</v>
      </c>
      <c r="G36" t="s">
        <v>93</v>
      </c>
    </row>
    <row r="37" spans="1:7">
      <c r="A37" t="s">
        <v>40</v>
      </c>
      <c r="B37">
        <v>2026</v>
      </c>
      <c r="C37" t="s">
        <v>3</v>
      </c>
      <c r="D37" t="s">
        <v>33</v>
      </c>
      <c r="E37" t="s">
        <v>37</v>
      </c>
      <c r="F37" s="5">
        <v>64000</v>
      </c>
      <c r="G37" t="s">
        <v>93</v>
      </c>
    </row>
    <row r="38" spans="1:7">
      <c r="A38" t="s">
        <v>40</v>
      </c>
      <c r="B38">
        <v>2026</v>
      </c>
      <c r="C38" t="s">
        <v>1</v>
      </c>
      <c r="D38" t="s">
        <v>34</v>
      </c>
      <c r="E38" t="s">
        <v>85</v>
      </c>
      <c r="F38" s="5">
        <v>2000</v>
      </c>
      <c r="G38" t="s">
        <v>93</v>
      </c>
    </row>
    <row r="39" spans="1:7">
      <c r="A39" t="s">
        <v>40</v>
      </c>
      <c r="B39">
        <v>2026</v>
      </c>
      <c r="C39" t="s">
        <v>2</v>
      </c>
      <c r="D39" t="s">
        <v>34</v>
      </c>
      <c r="E39" t="s">
        <v>85</v>
      </c>
      <c r="F39" s="5">
        <v>2000</v>
      </c>
      <c r="G39" t="s">
        <v>93</v>
      </c>
    </row>
    <row r="40" spans="1:7">
      <c r="A40" t="s">
        <v>40</v>
      </c>
      <c r="B40">
        <v>2026</v>
      </c>
      <c r="C40" t="s">
        <v>3</v>
      </c>
      <c r="D40" t="s">
        <v>34</v>
      </c>
      <c r="E40" t="s">
        <v>85</v>
      </c>
      <c r="F40" s="5">
        <v>2000</v>
      </c>
      <c r="G40" t="s">
        <v>93</v>
      </c>
    </row>
    <row r="41" spans="1:7">
      <c r="A41" t="s">
        <v>40</v>
      </c>
      <c r="B41">
        <v>2026</v>
      </c>
      <c r="C41" t="s">
        <v>2</v>
      </c>
      <c r="D41" t="s">
        <v>34</v>
      </c>
      <c r="E41" t="s">
        <v>94</v>
      </c>
      <c r="F41" s="5">
        <v>16010</v>
      </c>
      <c r="G41" t="s">
        <v>93</v>
      </c>
    </row>
    <row r="42" spans="1:7">
      <c r="A42" t="s">
        <v>40</v>
      </c>
      <c r="B42">
        <v>2026</v>
      </c>
      <c r="C42" t="s">
        <v>3</v>
      </c>
      <c r="D42" t="s">
        <v>34</v>
      </c>
      <c r="E42" t="s">
        <v>94</v>
      </c>
      <c r="F42" s="5">
        <v>16010</v>
      </c>
      <c r="G42" t="s">
        <v>93</v>
      </c>
    </row>
    <row r="43" spans="1:7">
      <c r="A43" t="s">
        <v>40</v>
      </c>
      <c r="B43">
        <v>2026</v>
      </c>
      <c r="C43" t="s">
        <v>1</v>
      </c>
      <c r="D43" t="s">
        <v>34</v>
      </c>
      <c r="E43" t="s">
        <v>86</v>
      </c>
      <c r="F43" s="5">
        <v>29800</v>
      </c>
      <c r="G43" t="s">
        <v>93</v>
      </c>
    </row>
    <row r="44" spans="1:7">
      <c r="A44" t="s">
        <v>40</v>
      </c>
      <c r="B44">
        <v>2026</v>
      </c>
      <c r="C44" t="s">
        <v>1</v>
      </c>
      <c r="D44" t="s">
        <v>34</v>
      </c>
      <c r="E44" t="s">
        <v>87</v>
      </c>
      <c r="F44" s="5">
        <v>48000</v>
      </c>
      <c r="G44" t="s">
        <v>93</v>
      </c>
    </row>
    <row r="45" spans="1:7">
      <c r="A45" t="s">
        <v>40</v>
      </c>
      <c r="B45">
        <v>2026</v>
      </c>
      <c r="C45" t="s">
        <v>2</v>
      </c>
      <c r="D45" t="s">
        <v>35</v>
      </c>
      <c r="E45" t="s">
        <v>88</v>
      </c>
      <c r="F45" s="5">
        <v>8400</v>
      </c>
      <c r="G45" t="s">
        <v>93</v>
      </c>
    </row>
    <row r="46" spans="1:7">
      <c r="A46" t="s">
        <v>40</v>
      </c>
      <c r="B46">
        <v>2026</v>
      </c>
      <c r="C46" t="s">
        <v>1</v>
      </c>
      <c r="D46" t="s">
        <v>35</v>
      </c>
      <c r="E46" t="s">
        <v>92</v>
      </c>
      <c r="F46" s="5">
        <v>25</v>
      </c>
      <c r="G46" t="s">
        <v>93</v>
      </c>
    </row>
    <row r="47" spans="1:7">
      <c r="A47" t="s">
        <v>40</v>
      </c>
      <c r="B47">
        <v>2026</v>
      </c>
      <c r="C47" t="s">
        <v>2</v>
      </c>
      <c r="D47" t="s">
        <v>35</v>
      </c>
      <c r="E47" t="s">
        <v>92</v>
      </c>
      <c r="F47" s="5">
        <v>50.49</v>
      </c>
      <c r="G47" t="s">
        <v>93</v>
      </c>
    </row>
    <row r="48" spans="1:7">
      <c r="A48" t="s">
        <v>40</v>
      </c>
      <c r="B48">
        <v>2026</v>
      </c>
      <c r="C48" t="s">
        <v>3</v>
      </c>
      <c r="D48" t="s">
        <v>35</v>
      </c>
      <c r="E48" t="s">
        <v>92</v>
      </c>
      <c r="F48" s="5">
        <v>-485.93</v>
      </c>
      <c r="G48" t="s">
        <v>93</v>
      </c>
    </row>
    <row r="49" spans="1:2">
      <c r="A49" t="s">
        <v>39</v>
      </c>
      <c r="B49">
        <v>2026</v>
      </c>
    </row>
    <row r="50" spans="1:2">
      <c r="A50" t="s">
        <v>39</v>
      </c>
      <c r="B50">
        <v>2026</v>
      </c>
    </row>
    <row r="51" spans="1:2">
      <c r="A51" t="s">
        <v>39</v>
      </c>
      <c r="B51">
        <v>2026</v>
      </c>
    </row>
    <row r="52" spans="1:2">
      <c r="A52" t="s">
        <v>39</v>
      </c>
      <c r="B52">
        <v>2026</v>
      </c>
    </row>
    <row r="53" spans="1:2">
      <c r="A53" t="s">
        <v>39</v>
      </c>
      <c r="B53">
        <v>2026</v>
      </c>
    </row>
    <row r="54" spans="1:2">
      <c r="A54" t="s">
        <v>39</v>
      </c>
      <c r="B54">
        <v>2026</v>
      </c>
    </row>
    <row r="55" spans="1:2">
      <c r="A55" t="s">
        <v>39</v>
      </c>
      <c r="B55">
        <v>2026</v>
      </c>
    </row>
    <row r="56" spans="1:2">
      <c r="A56" t="s">
        <v>39</v>
      </c>
      <c r="B56">
        <v>2026</v>
      </c>
    </row>
    <row r="57" spans="1:2">
      <c r="A57" t="s">
        <v>39</v>
      </c>
      <c r="B57">
        <v>2026</v>
      </c>
    </row>
    <row r="58" spans="1:2">
      <c r="A58" t="s">
        <v>39</v>
      </c>
      <c r="B58">
        <v>2026</v>
      </c>
    </row>
    <row r="59" spans="1:2">
      <c r="A59" t="s">
        <v>39</v>
      </c>
      <c r="B59">
        <v>2026</v>
      </c>
    </row>
    <row r="60" spans="1:2">
      <c r="A60" t="s">
        <v>39</v>
      </c>
      <c r="B60">
        <v>2026</v>
      </c>
    </row>
    <row r="61" spans="1:2">
      <c r="A61" t="s">
        <v>39</v>
      </c>
      <c r="B61">
        <v>2026</v>
      </c>
    </row>
    <row r="62" spans="1:2">
      <c r="A62" t="s">
        <v>39</v>
      </c>
      <c r="B62">
        <v>2026</v>
      </c>
    </row>
    <row r="63" spans="1:2">
      <c r="A63" t="s">
        <v>39</v>
      </c>
      <c r="B63">
        <v>2026</v>
      </c>
    </row>
    <row r="64" spans="1:2">
      <c r="A64" t="s">
        <v>39</v>
      </c>
      <c r="B64">
        <v>2026</v>
      </c>
    </row>
    <row r="65" spans="1:2">
      <c r="A65" t="s">
        <v>39</v>
      </c>
      <c r="B65">
        <v>2026</v>
      </c>
    </row>
    <row r="66" spans="1:2">
      <c r="A66" t="s">
        <v>39</v>
      </c>
      <c r="B66">
        <v>2026</v>
      </c>
    </row>
    <row r="67" spans="1:2">
      <c r="A67" t="s">
        <v>39</v>
      </c>
      <c r="B67">
        <v>2026</v>
      </c>
    </row>
    <row r="68" spans="1:2">
      <c r="A68" t="s">
        <v>39</v>
      </c>
      <c r="B68">
        <v>2026</v>
      </c>
    </row>
    <row r="69" spans="1:2">
      <c r="A69" t="s">
        <v>39</v>
      </c>
      <c r="B69">
        <v>2026</v>
      </c>
    </row>
    <row r="70" spans="1:2">
      <c r="A70" t="s">
        <v>39</v>
      </c>
      <c r="B70">
        <v>2026</v>
      </c>
    </row>
    <row r="71" spans="1:2">
      <c r="A71" t="s">
        <v>39</v>
      </c>
      <c r="B71">
        <v>2026</v>
      </c>
    </row>
    <row r="72" spans="1:2">
      <c r="A72" t="s">
        <v>39</v>
      </c>
      <c r="B72">
        <v>2026</v>
      </c>
    </row>
    <row r="73" spans="1:2">
      <c r="A73" t="s">
        <v>39</v>
      </c>
      <c r="B73">
        <v>2026</v>
      </c>
    </row>
    <row r="74" spans="1:2">
      <c r="A74" t="s">
        <v>39</v>
      </c>
      <c r="B74">
        <v>2026</v>
      </c>
    </row>
    <row r="75" spans="1:2">
      <c r="A75" t="s">
        <v>39</v>
      </c>
      <c r="B75">
        <v>2026</v>
      </c>
    </row>
    <row r="76" spans="1:2">
      <c r="A76" t="s">
        <v>39</v>
      </c>
      <c r="B76">
        <v>2026</v>
      </c>
    </row>
    <row r="77" spans="1:2">
      <c r="A77" t="s">
        <v>39</v>
      </c>
      <c r="B77">
        <v>2026</v>
      </c>
    </row>
    <row r="78" spans="1:2">
      <c r="A78" t="s">
        <v>39</v>
      </c>
      <c r="B78">
        <v>2026</v>
      </c>
    </row>
  </sheetData>
  <dataValidations count="3">
    <dataValidation type="list" allowBlank="1" showInputMessage="1" showErrorMessage="1" sqref="A2:A78">
      <formula1>list_口径</formula1>
    </dataValidation>
    <dataValidation type="list" allowBlank="1" showInputMessage="1" showErrorMessage="1" sqref="C2:C78">
      <formula1>list_月份</formula1>
    </dataValidation>
    <dataValidation type="list" allowBlank="1" showInputMessage="1" showErrorMessage="1" sqref="D2:D78">
      <formula1>list_公共费用大类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G138"/>
  <sheetViews>
    <sheetView workbookViewId="0">
      <pane ySplit="1" topLeftCell="A2" activePane="bottomLeft" state="frozen"/>
      <selection pane="bottomLeft"/>
    </sheetView>
  </sheetViews>
  <sheetFormatPr defaultRowHeight="15"/>
  <cols>
    <col min="1" max="2" width="10.7109375" customWidth="1"/>
    <col min="3" max="3" width="16.7109375" customWidth="1"/>
    <col min="4" max="4" width="14.7109375" customWidth="1"/>
    <col min="5" max="5" width="24.7109375" customWidth="1"/>
    <col min="6" max="6" width="14.7109375" style="5" customWidth="1"/>
    <col min="7" max="7" width="36.7109375" customWidth="1"/>
  </cols>
  <sheetData>
    <row r="1" spans="1:7">
      <c r="A1" t="s">
        <v>61</v>
      </c>
      <c r="B1" t="s">
        <v>0</v>
      </c>
      <c r="C1" t="s">
        <v>19</v>
      </c>
      <c r="D1" t="s">
        <v>95</v>
      </c>
      <c r="E1" t="s">
        <v>96</v>
      </c>
      <c r="F1" s="5" t="s">
        <v>79</v>
      </c>
      <c r="G1" t="s">
        <v>69</v>
      </c>
    </row>
    <row r="2" spans="1:7">
      <c r="A2">
        <v>2026</v>
      </c>
      <c r="B2" t="s">
        <v>1</v>
      </c>
      <c r="C2" t="s">
        <v>20</v>
      </c>
      <c r="D2" t="s">
        <v>42</v>
      </c>
      <c r="E2" t="s">
        <v>97</v>
      </c>
      <c r="F2" s="5">
        <v>-474.84</v>
      </c>
      <c r="G2" t="s">
        <v>98</v>
      </c>
    </row>
    <row r="3" spans="1:7">
      <c r="A3">
        <v>2026</v>
      </c>
      <c r="B3" t="s">
        <v>3</v>
      </c>
      <c r="C3" t="s">
        <v>20</v>
      </c>
      <c r="D3" t="s">
        <v>42</v>
      </c>
      <c r="E3" t="s">
        <v>97</v>
      </c>
      <c r="F3" s="5">
        <v>-200</v>
      </c>
      <c r="G3" t="s">
        <v>98</v>
      </c>
    </row>
    <row r="4" spans="1:7">
      <c r="A4">
        <v>2026</v>
      </c>
      <c r="B4" t="s">
        <v>4</v>
      </c>
      <c r="C4" t="s">
        <v>20</v>
      </c>
      <c r="D4" t="s">
        <v>42</v>
      </c>
      <c r="E4" t="s">
        <v>97</v>
      </c>
      <c r="F4" s="5">
        <v>44700</v>
      </c>
      <c r="G4" t="s">
        <v>98</v>
      </c>
    </row>
    <row r="5" spans="1:7">
      <c r="A5">
        <v>2026</v>
      </c>
      <c r="B5" t="s">
        <v>5</v>
      </c>
      <c r="C5" t="s">
        <v>20</v>
      </c>
      <c r="D5" t="s">
        <v>42</v>
      </c>
      <c r="E5" t="s">
        <v>97</v>
      </c>
      <c r="F5" s="5">
        <v>22098.59</v>
      </c>
      <c r="G5" t="s">
        <v>98</v>
      </c>
    </row>
    <row r="6" spans="1:7">
      <c r="A6">
        <v>2026</v>
      </c>
      <c r="B6" t="s">
        <v>1</v>
      </c>
      <c r="C6" t="s">
        <v>20</v>
      </c>
      <c r="D6" t="s">
        <v>43</v>
      </c>
      <c r="E6" t="s">
        <v>44</v>
      </c>
      <c r="F6" s="5">
        <v>10000</v>
      </c>
      <c r="G6" t="s">
        <v>98</v>
      </c>
    </row>
    <row r="7" spans="1:7">
      <c r="A7">
        <v>2026</v>
      </c>
      <c r="B7" t="s">
        <v>2</v>
      </c>
      <c r="C7" t="s">
        <v>20</v>
      </c>
      <c r="D7" t="s">
        <v>43</v>
      </c>
      <c r="E7" t="s">
        <v>44</v>
      </c>
      <c r="F7" s="5">
        <v>10000</v>
      </c>
      <c r="G7" t="s">
        <v>98</v>
      </c>
    </row>
    <row r="8" spans="1:7">
      <c r="A8">
        <v>2026</v>
      </c>
      <c r="B8" t="s">
        <v>3</v>
      </c>
      <c r="C8" t="s">
        <v>20</v>
      </c>
      <c r="D8" t="s">
        <v>43</v>
      </c>
      <c r="E8" t="s">
        <v>44</v>
      </c>
      <c r="F8" s="5">
        <v>10000</v>
      </c>
      <c r="G8" t="s">
        <v>98</v>
      </c>
    </row>
    <row r="9" spans="1:7">
      <c r="A9">
        <v>2026</v>
      </c>
      <c r="B9" t="s">
        <v>4</v>
      </c>
      <c r="C9" t="s">
        <v>20</v>
      </c>
      <c r="D9" t="s">
        <v>43</v>
      </c>
      <c r="E9" t="s">
        <v>44</v>
      </c>
      <c r="F9" s="5">
        <v>10500</v>
      </c>
      <c r="G9" t="s">
        <v>98</v>
      </c>
    </row>
    <row r="10" spans="1:7">
      <c r="A10">
        <v>2026</v>
      </c>
      <c r="B10" t="s">
        <v>5</v>
      </c>
      <c r="C10" t="s">
        <v>20</v>
      </c>
      <c r="D10" t="s">
        <v>43</v>
      </c>
      <c r="E10" t="s">
        <v>44</v>
      </c>
      <c r="F10" s="5">
        <v>10500</v>
      </c>
      <c r="G10" t="s">
        <v>98</v>
      </c>
    </row>
    <row r="11" spans="1:7">
      <c r="A11">
        <v>2026</v>
      </c>
      <c r="B11" t="s">
        <v>6</v>
      </c>
      <c r="C11" t="s">
        <v>20</v>
      </c>
      <c r="D11" t="s">
        <v>43</v>
      </c>
      <c r="E11" t="s">
        <v>44</v>
      </c>
      <c r="F11" s="5">
        <v>10500</v>
      </c>
      <c r="G11" t="s">
        <v>98</v>
      </c>
    </row>
    <row r="12" spans="1:7">
      <c r="A12">
        <v>2026</v>
      </c>
      <c r="B12" t="s">
        <v>7</v>
      </c>
      <c r="C12" t="s">
        <v>20</v>
      </c>
      <c r="D12" t="s">
        <v>43</v>
      </c>
      <c r="E12" t="s">
        <v>44</v>
      </c>
      <c r="F12" s="5">
        <v>10500</v>
      </c>
      <c r="G12" t="s">
        <v>98</v>
      </c>
    </row>
    <row r="13" spans="1:7">
      <c r="A13">
        <v>2026</v>
      </c>
      <c r="B13" t="s">
        <v>8</v>
      </c>
      <c r="C13" t="s">
        <v>20</v>
      </c>
      <c r="D13" t="s">
        <v>43</v>
      </c>
      <c r="E13" t="s">
        <v>44</v>
      </c>
      <c r="F13" s="5">
        <v>10500</v>
      </c>
      <c r="G13" t="s">
        <v>98</v>
      </c>
    </row>
    <row r="14" spans="1:7">
      <c r="A14">
        <v>2026</v>
      </c>
      <c r="B14" t="s">
        <v>9</v>
      </c>
      <c r="C14" t="s">
        <v>20</v>
      </c>
      <c r="D14" t="s">
        <v>43</v>
      </c>
      <c r="E14" t="s">
        <v>44</v>
      </c>
      <c r="F14" s="5">
        <v>10500</v>
      </c>
      <c r="G14" t="s">
        <v>98</v>
      </c>
    </row>
    <row r="15" spans="1:7">
      <c r="A15">
        <v>2026</v>
      </c>
      <c r="B15" t="s">
        <v>10</v>
      </c>
      <c r="C15" t="s">
        <v>20</v>
      </c>
      <c r="D15" t="s">
        <v>43</v>
      </c>
      <c r="E15" t="s">
        <v>44</v>
      </c>
      <c r="F15" s="5">
        <v>10500</v>
      </c>
      <c r="G15" t="s">
        <v>98</v>
      </c>
    </row>
    <row r="16" spans="1:7">
      <c r="A16">
        <v>2026</v>
      </c>
      <c r="B16" t="s">
        <v>11</v>
      </c>
      <c r="C16" t="s">
        <v>20</v>
      </c>
      <c r="D16" t="s">
        <v>43</v>
      </c>
      <c r="E16" t="s">
        <v>44</v>
      </c>
      <c r="F16" s="5">
        <v>10500</v>
      </c>
      <c r="G16" t="s">
        <v>98</v>
      </c>
    </row>
    <row r="17" spans="1:7">
      <c r="A17">
        <v>2026</v>
      </c>
      <c r="B17" t="s">
        <v>12</v>
      </c>
      <c r="C17" t="s">
        <v>20</v>
      </c>
      <c r="D17" t="s">
        <v>43</v>
      </c>
      <c r="E17" t="s">
        <v>44</v>
      </c>
      <c r="F17" s="5">
        <v>10500</v>
      </c>
      <c r="G17" t="s">
        <v>98</v>
      </c>
    </row>
    <row r="18" spans="1:7">
      <c r="A18">
        <v>2026</v>
      </c>
      <c r="B18" t="s">
        <v>1</v>
      </c>
      <c r="C18" t="s">
        <v>20</v>
      </c>
      <c r="D18" t="s">
        <v>43</v>
      </c>
      <c r="E18" t="s">
        <v>99</v>
      </c>
      <c r="F18" s="5">
        <v>2620</v>
      </c>
      <c r="G18" t="s">
        <v>98</v>
      </c>
    </row>
    <row r="19" spans="1:7">
      <c r="A19">
        <v>2026</v>
      </c>
      <c r="B19" t="s">
        <v>2</v>
      </c>
      <c r="C19" t="s">
        <v>20</v>
      </c>
      <c r="D19" t="s">
        <v>43</v>
      </c>
      <c r="E19" t="s">
        <v>99</v>
      </c>
      <c r="F19" s="5">
        <v>2620</v>
      </c>
      <c r="G19" t="s">
        <v>98</v>
      </c>
    </row>
    <row r="20" spans="1:7">
      <c r="A20">
        <v>2026</v>
      </c>
      <c r="B20" t="s">
        <v>3</v>
      </c>
      <c r="C20" t="s">
        <v>20</v>
      </c>
      <c r="D20" t="s">
        <v>43</v>
      </c>
      <c r="E20" t="s">
        <v>99</v>
      </c>
      <c r="F20" s="5">
        <v>2620</v>
      </c>
      <c r="G20" t="s">
        <v>98</v>
      </c>
    </row>
    <row r="21" spans="1:7">
      <c r="A21">
        <v>2026</v>
      </c>
      <c r="B21" t="s">
        <v>4</v>
      </c>
      <c r="C21" t="s">
        <v>20</v>
      </c>
      <c r="D21" t="s">
        <v>43</v>
      </c>
      <c r="E21" t="s">
        <v>99</v>
      </c>
      <c r="F21" s="5">
        <v>2620</v>
      </c>
      <c r="G21" t="s">
        <v>98</v>
      </c>
    </row>
    <row r="22" spans="1:7">
      <c r="A22">
        <v>2026</v>
      </c>
      <c r="B22" t="s">
        <v>5</v>
      </c>
      <c r="C22" t="s">
        <v>20</v>
      </c>
      <c r="D22" t="s">
        <v>43</v>
      </c>
      <c r="E22" t="s">
        <v>99</v>
      </c>
      <c r="F22" s="5">
        <v>2620</v>
      </c>
      <c r="G22" t="s">
        <v>98</v>
      </c>
    </row>
    <row r="23" spans="1:7">
      <c r="A23">
        <v>2026</v>
      </c>
      <c r="B23" t="s">
        <v>6</v>
      </c>
      <c r="C23" t="s">
        <v>20</v>
      </c>
      <c r="D23" t="s">
        <v>43</v>
      </c>
      <c r="E23" t="s">
        <v>99</v>
      </c>
      <c r="F23" s="5">
        <v>2620</v>
      </c>
      <c r="G23" t="s">
        <v>98</v>
      </c>
    </row>
    <row r="24" spans="1:7">
      <c r="A24">
        <v>2026</v>
      </c>
      <c r="B24" t="s">
        <v>7</v>
      </c>
      <c r="C24" t="s">
        <v>20</v>
      </c>
      <c r="D24" t="s">
        <v>43</v>
      </c>
      <c r="E24" t="s">
        <v>99</v>
      </c>
      <c r="F24" s="5">
        <v>2620</v>
      </c>
      <c r="G24" t="s">
        <v>98</v>
      </c>
    </row>
    <row r="25" spans="1:7">
      <c r="A25">
        <v>2026</v>
      </c>
      <c r="B25" t="s">
        <v>8</v>
      </c>
      <c r="C25" t="s">
        <v>20</v>
      </c>
      <c r="D25" t="s">
        <v>43</v>
      </c>
      <c r="E25" t="s">
        <v>99</v>
      </c>
      <c r="F25" s="5">
        <v>2620</v>
      </c>
      <c r="G25" t="s">
        <v>98</v>
      </c>
    </row>
    <row r="26" spans="1:7">
      <c r="A26">
        <v>2026</v>
      </c>
      <c r="B26" t="s">
        <v>9</v>
      </c>
      <c r="C26" t="s">
        <v>20</v>
      </c>
      <c r="D26" t="s">
        <v>43</v>
      </c>
      <c r="E26" t="s">
        <v>99</v>
      </c>
      <c r="F26" s="5">
        <v>2620</v>
      </c>
      <c r="G26" t="s">
        <v>98</v>
      </c>
    </row>
    <row r="27" spans="1:7">
      <c r="A27">
        <v>2026</v>
      </c>
      <c r="B27" t="s">
        <v>10</v>
      </c>
      <c r="C27" t="s">
        <v>20</v>
      </c>
      <c r="D27" t="s">
        <v>43</v>
      </c>
      <c r="E27" t="s">
        <v>99</v>
      </c>
      <c r="F27" s="5">
        <v>2620</v>
      </c>
      <c r="G27" t="s">
        <v>98</v>
      </c>
    </row>
    <row r="28" spans="1:7">
      <c r="A28">
        <v>2026</v>
      </c>
      <c r="B28" t="s">
        <v>11</v>
      </c>
      <c r="C28" t="s">
        <v>20</v>
      </c>
      <c r="D28" t="s">
        <v>43</v>
      </c>
      <c r="E28" t="s">
        <v>99</v>
      </c>
      <c r="F28" s="5">
        <v>2620</v>
      </c>
      <c r="G28" t="s">
        <v>98</v>
      </c>
    </row>
    <row r="29" spans="1:7">
      <c r="A29">
        <v>2026</v>
      </c>
      <c r="B29" t="s">
        <v>12</v>
      </c>
      <c r="C29" t="s">
        <v>20</v>
      </c>
      <c r="D29" t="s">
        <v>43</v>
      </c>
      <c r="E29" t="s">
        <v>99</v>
      </c>
      <c r="F29" s="5">
        <v>2620</v>
      </c>
      <c r="G29" t="s">
        <v>98</v>
      </c>
    </row>
    <row r="30" spans="1:7">
      <c r="A30">
        <v>2026</v>
      </c>
      <c r="B30" t="s">
        <v>1</v>
      </c>
      <c r="C30" t="s">
        <v>20</v>
      </c>
      <c r="D30" t="s">
        <v>43</v>
      </c>
      <c r="E30" t="s">
        <v>100</v>
      </c>
      <c r="F30" s="5">
        <v>1200</v>
      </c>
      <c r="G30" t="s">
        <v>98</v>
      </c>
    </row>
    <row r="31" spans="1:7">
      <c r="A31">
        <v>2026</v>
      </c>
      <c r="B31" t="s">
        <v>2</v>
      </c>
      <c r="C31" t="s">
        <v>20</v>
      </c>
      <c r="D31" t="s">
        <v>43</v>
      </c>
      <c r="E31" t="s">
        <v>100</v>
      </c>
      <c r="F31" s="5">
        <v>1200</v>
      </c>
      <c r="G31" t="s">
        <v>98</v>
      </c>
    </row>
    <row r="32" spans="1:7">
      <c r="A32">
        <v>2026</v>
      </c>
      <c r="B32" t="s">
        <v>2</v>
      </c>
      <c r="C32" t="s">
        <v>20</v>
      </c>
      <c r="D32" t="s">
        <v>43</v>
      </c>
      <c r="E32" t="s">
        <v>101</v>
      </c>
      <c r="F32" s="5">
        <v>13789.47</v>
      </c>
      <c r="G32" t="s">
        <v>98</v>
      </c>
    </row>
    <row r="33" spans="1:7">
      <c r="A33">
        <v>2026</v>
      </c>
      <c r="B33" t="s">
        <v>3</v>
      </c>
      <c r="C33" t="s">
        <v>20</v>
      </c>
      <c r="D33" t="s">
        <v>43</v>
      </c>
      <c r="E33" t="s">
        <v>101</v>
      </c>
      <c r="F33" s="5">
        <v>16070</v>
      </c>
      <c r="G33" t="s">
        <v>98</v>
      </c>
    </row>
    <row r="34" spans="1:7">
      <c r="A34">
        <v>2026</v>
      </c>
      <c r="B34" t="s">
        <v>4</v>
      </c>
      <c r="C34" t="s">
        <v>20</v>
      </c>
      <c r="D34" t="s">
        <v>43</v>
      </c>
      <c r="E34" t="s">
        <v>101</v>
      </c>
      <c r="F34" s="5">
        <v>4212.9</v>
      </c>
      <c r="G34" t="s">
        <v>98</v>
      </c>
    </row>
    <row r="35" spans="1:7">
      <c r="A35">
        <v>2026</v>
      </c>
      <c r="B35" t="s">
        <v>5</v>
      </c>
      <c r="C35" t="s">
        <v>20</v>
      </c>
      <c r="D35" t="s">
        <v>43</v>
      </c>
      <c r="E35" t="s">
        <v>101</v>
      </c>
      <c r="F35" s="5">
        <v>337</v>
      </c>
      <c r="G35" t="s">
        <v>98</v>
      </c>
    </row>
    <row r="36" spans="1:7">
      <c r="A36">
        <v>2026</v>
      </c>
      <c r="B36" t="s">
        <v>3</v>
      </c>
      <c r="C36" t="s">
        <v>20</v>
      </c>
      <c r="D36" t="s">
        <v>43</v>
      </c>
      <c r="E36" t="s">
        <v>102</v>
      </c>
      <c r="F36" s="5">
        <v>29519.62</v>
      </c>
      <c r="G36" t="s">
        <v>98</v>
      </c>
    </row>
    <row r="37" spans="1:7">
      <c r="A37">
        <v>2026</v>
      </c>
      <c r="B37" t="s">
        <v>5</v>
      </c>
      <c r="C37" t="s">
        <v>20</v>
      </c>
      <c r="D37" t="s">
        <v>43</v>
      </c>
      <c r="E37" t="s">
        <v>102</v>
      </c>
      <c r="F37" s="5">
        <v>450</v>
      </c>
      <c r="G37" t="s">
        <v>98</v>
      </c>
    </row>
    <row r="38" spans="1:7">
      <c r="A38">
        <v>2026</v>
      </c>
      <c r="B38" t="s">
        <v>1</v>
      </c>
      <c r="C38" t="s">
        <v>21</v>
      </c>
      <c r="D38" t="s">
        <v>42</v>
      </c>
      <c r="E38" t="s">
        <v>97</v>
      </c>
      <c r="F38" s="5">
        <v>-237.42</v>
      </c>
      <c r="G38" t="s">
        <v>103</v>
      </c>
    </row>
    <row r="39" spans="1:7">
      <c r="A39">
        <v>2026</v>
      </c>
      <c r="B39" t="s">
        <v>3</v>
      </c>
      <c r="C39" t="s">
        <v>21</v>
      </c>
      <c r="D39" t="s">
        <v>42</v>
      </c>
      <c r="E39" t="s">
        <v>97</v>
      </c>
      <c r="F39" s="5">
        <v>1390</v>
      </c>
      <c r="G39" t="s">
        <v>103</v>
      </c>
    </row>
    <row r="40" spans="1:7">
      <c r="A40">
        <v>2026</v>
      </c>
      <c r="B40" t="s">
        <v>4</v>
      </c>
      <c r="C40" t="s">
        <v>21</v>
      </c>
      <c r="D40" t="s">
        <v>42</v>
      </c>
      <c r="E40" t="s">
        <v>97</v>
      </c>
      <c r="F40" s="5">
        <v>-197.56</v>
      </c>
      <c r="G40" t="s">
        <v>103</v>
      </c>
    </row>
    <row r="41" spans="1:7">
      <c r="A41">
        <v>2026</v>
      </c>
      <c r="B41" t="s">
        <v>1</v>
      </c>
      <c r="C41" t="s">
        <v>21</v>
      </c>
      <c r="D41" t="s">
        <v>43</v>
      </c>
      <c r="E41" t="s">
        <v>44</v>
      </c>
      <c r="F41" s="5">
        <v>10000</v>
      </c>
      <c r="G41" t="s">
        <v>103</v>
      </c>
    </row>
    <row r="42" spans="1:7">
      <c r="A42">
        <v>2026</v>
      </c>
      <c r="B42" t="s">
        <v>2</v>
      </c>
      <c r="C42" t="s">
        <v>21</v>
      </c>
      <c r="D42" t="s">
        <v>43</v>
      </c>
      <c r="E42" t="s">
        <v>44</v>
      </c>
      <c r="F42" s="5">
        <v>10000</v>
      </c>
      <c r="G42" t="s">
        <v>103</v>
      </c>
    </row>
    <row r="43" spans="1:7">
      <c r="A43">
        <v>2026</v>
      </c>
      <c r="B43" t="s">
        <v>3</v>
      </c>
      <c r="C43" t="s">
        <v>21</v>
      </c>
      <c r="D43" t="s">
        <v>43</v>
      </c>
      <c r="E43" t="s">
        <v>44</v>
      </c>
      <c r="F43" s="5">
        <v>10000</v>
      </c>
      <c r="G43" t="s">
        <v>103</v>
      </c>
    </row>
    <row r="44" spans="1:7">
      <c r="A44">
        <v>2026</v>
      </c>
      <c r="B44" t="s">
        <v>4</v>
      </c>
      <c r="C44" t="s">
        <v>21</v>
      </c>
      <c r="D44" t="s">
        <v>43</v>
      </c>
      <c r="E44" t="s">
        <v>44</v>
      </c>
      <c r="F44" s="5">
        <v>10000</v>
      </c>
      <c r="G44" t="s">
        <v>103</v>
      </c>
    </row>
    <row r="45" spans="1:7">
      <c r="A45">
        <v>2026</v>
      </c>
      <c r="B45" t="s">
        <v>1</v>
      </c>
      <c r="C45" t="s">
        <v>21</v>
      </c>
      <c r="D45" t="s">
        <v>43</v>
      </c>
      <c r="E45" t="s">
        <v>99</v>
      </c>
      <c r="F45" s="5">
        <v>2620</v>
      </c>
      <c r="G45" t="s">
        <v>103</v>
      </c>
    </row>
    <row r="46" spans="1:7">
      <c r="A46">
        <v>2026</v>
      </c>
      <c r="B46" t="s">
        <v>2</v>
      </c>
      <c r="C46" t="s">
        <v>21</v>
      </c>
      <c r="D46" t="s">
        <v>43</v>
      </c>
      <c r="E46" t="s">
        <v>99</v>
      </c>
      <c r="F46" s="5">
        <v>2620</v>
      </c>
      <c r="G46" t="s">
        <v>103</v>
      </c>
    </row>
    <row r="47" spans="1:7">
      <c r="A47">
        <v>2026</v>
      </c>
      <c r="B47" t="s">
        <v>3</v>
      </c>
      <c r="C47" t="s">
        <v>21</v>
      </c>
      <c r="D47" t="s">
        <v>43</v>
      </c>
      <c r="E47" t="s">
        <v>99</v>
      </c>
      <c r="F47" s="5">
        <v>2620</v>
      </c>
      <c r="G47" t="s">
        <v>103</v>
      </c>
    </row>
    <row r="48" spans="1:7">
      <c r="A48">
        <v>2026</v>
      </c>
      <c r="B48" t="s">
        <v>4</v>
      </c>
      <c r="C48" t="s">
        <v>21</v>
      </c>
      <c r="D48" t="s">
        <v>43</v>
      </c>
      <c r="E48" t="s">
        <v>99</v>
      </c>
      <c r="F48" s="5">
        <v>2620</v>
      </c>
      <c r="G48" t="s">
        <v>103</v>
      </c>
    </row>
    <row r="49" spans="1:7">
      <c r="A49">
        <v>2026</v>
      </c>
      <c r="B49" t="s">
        <v>1</v>
      </c>
      <c r="C49" t="s">
        <v>21</v>
      </c>
      <c r="D49" t="s">
        <v>43</v>
      </c>
      <c r="E49" t="s">
        <v>100</v>
      </c>
      <c r="F49" s="5">
        <v>1200</v>
      </c>
      <c r="G49" t="s">
        <v>103</v>
      </c>
    </row>
    <row r="50" spans="1:7">
      <c r="A50">
        <v>2026</v>
      </c>
      <c r="B50" t="s">
        <v>2</v>
      </c>
      <c r="C50" t="s">
        <v>21</v>
      </c>
      <c r="D50" t="s">
        <v>43</v>
      </c>
      <c r="E50" t="s">
        <v>100</v>
      </c>
      <c r="F50" s="5">
        <v>1200</v>
      </c>
      <c r="G50" t="s">
        <v>103</v>
      </c>
    </row>
    <row r="51" spans="1:7">
      <c r="A51">
        <v>2026</v>
      </c>
      <c r="B51" t="s">
        <v>3</v>
      </c>
      <c r="C51" t="s">
        <v>21</v>
      </c>
      <c r="D51" t="s">
        <v>43</v>
      </c>
      <c r="E51" t="s">
        <v>100</v>
      </c>
      <c r="F51" s="5">
        <v>1200</v>
      </c>
      <c r="G51" t="s">
        <v>103</v>
      </c>
    </row>
    <row r="52" spans="1:7">
      <c r="A52">
        <v>2026</v>
      </c>
      <c r="B52" t="s">
        <v>4</v>
      </c>
      <c r="C52" t="s">
        <v>21</v>
      </c>
      <c r="D52" t="s">
        <v>43</v>
      </c>
      <c r="E52" t="s">
        <v>100</v>
      </c>
      <c r="F52" s="5">
        <v>1200</v>
      </c>
      <c r="G52" t="s">
        <v>103</v>
      </c>
    </row>
    <row r="53" spans="1:7">
      <c r="A53">
        <v>2026</v>
      </c>
      <c r="B53" t="s">
        <v>3</v>
      </c>
      <c r="C53" t="s">
        <v>21</v>
      </c>
      <c r="D53" t="s">
        <v>43</v>
      </c>
      <c r="E53" t="s">
        <v>101</v>
      </c>
      <c r="F53" s="5">
        <v>2580</v>
      </c>
      <c r="G53" t="s">
        <v>103</v>
      </c>
    </row>
    <row r="54" spans="1:7">
      <c r="A54">
        <v>2026</v>
      </c>
      <c r="B54" t="s">
        <v>1</v>
      </c>
      <c r="C54" t="s">
        <v>22</v>
      </c>
      <c r="D54" t="s">
        <v>42</v>
      </c>
      <c r="E54" t="s">
        <v>97</v>
      </c>
      <c r="F54" s="5">
        <v>2312.26</v>
      </c>
      <c r="G54" t="s">
        <v>104</v>
      </c>
    </row>
    <row r="55" spans="1:7">
      <c r="A55">
        <v>2026</v>
      </c>
      <c r="B55" t="s">
        <v>3</v>
      </c>
      <c r="C55" t="s">
        <v>22</v>
      </c>
      <c r="D55" t="s">
        <v>42</v>
      </c>
      <c r="E55" t="s">
        <v>97</v>
      </c>
      <c r="F55" s="5">
        <v>-1190</v>
      </c>
      <c r="G55" t="s">
        <v>104</v>
      </c>
    </row>
    <row r="56" spans="1:7">
      <c r="A56">
        <v>2026</v>
      </c>
      <c r="B56" t="s">
        <v>4</v>
      </c>
      <c r="C56" t="s">
        <v>22</v>
      </c>
      <c r="D56" t="s">
        <v>42</v>
      </c>
      <c r="E56" t="s">
        <v>97</v>
      </c>
      <c r="F56" s="5">
        <v>197.56</v>
      </c>
      <c r="G56" t="s">
        <v>104</v>
      </c>
    </row>
    <row r="57" spans="1:7">
      <c r="A57">
        <v>2026</v>
      </c>
      <c r="B57" t="s">
        <v>5</v>
      </c>
      <c r="C57" t="s">
        <v>22</v>
      </c>
      <c r="D57" t="s">
        <v>42</v>
      </c>
      <c r="E57" t="s">
        <v>97</v>
      </c>
      <c r="F57" s="5">
        <v>9140.4</v>
      </c>
      <c r="G57" t="s">
        <v>104</v>
      </c>
    </row>
    <row r="58" spans="1:7">
      <c r="A58">
        <v>2026</v>
      </c>
      <c r="B58" t="s">
        <v>1</v>
      </c>
      <c r="C58" t="s">
        <v>22</v>
      </c>
      <c r="D58" t="s">
        <v>43</v>
      </c>
      <c r="E58" t="s">
        <v>44</v>
      </c>
      <c r="F58" s="5">
        <v>5500</v>
      </c>
      <c r="G58" t="s">
        <v>104</v>
      </c>
    </row>
    <row r="59" spans="1:7">
      <c r="A59">
        <v>2026</v>
      </c>
      <c r="B59" t="s">
        <v>2</v>
      </c>
      <c r="C59" t="s">
        <v>22</v>
      </c>
      <c r="D59" t="s">
        <v>43</v>
      </c>
      <c r="E59" t="s">
        <v>44</v>
      </c>
      <c r="F59" s="5">
        <v>5500</v>
      </c>
      <c r="G59" t="s">
        <v>104</v>
      </c>
    </row>
    <row r="60" spans="1:7">
      <c r="A60">
        <v>2026</v>
      </c>
      <c r="B60" t="s">
        <v>3</v>
      </c>
      <c r="C60" t="s">
        <v>22</v>
      </c>
      <c r="D60" t="s">
        <v>43</v>
      </c>
      <c r="E60" t="s">
        <v>44</v>
      </c>
      <c r="F60" s="5">
        <v>5500</v>
      </c>
      <c r="G60" t="s">
        <v>104</v>
      </c>
    </row>
    <row r="61" spans="1:7">
      <c r="A61">
        <v>2026</v>
      </c>
      <c r="B61" t="s">
        <v>4</v>
      </c>
      <c r="C61" t="s">
        <v>22</v>
      </c>
      <c r="D61" t="s">
        <v>43</v>
      </c>
      <c r="E61" t="s">
        <v>44</v>
      </c>
      <c r="F61" s="5">
        <v>5500</v>
      </c>
      <c r="G61" t="s">
        <v>104</v>
      </c>
    </row>
    <row r="62" spans="1:7">
      <c r="A62">
        <v>2026</v>
      </c>
      <c r="B62" t="s">
        <v>5</v>
      </c>
      <c r="C62" t="s">
        <v>22</v>
      </c>
      <c r="D62" t="s">
        <v>43</v>
      </c>
      <c r="E62" t="s">
        <v>44</v>
      </c>
      <c r="F62" s="5">
        <v>5500</v>
      </c>
      <c r="G62" t="s">
        <v>104</v>
      </c>
    </row>
    <row r="63" spans="1:7">
      <c r="A63">
        <v>2026</v>
      </c>
      <c r="B63" t="s">
        <v>6</v>
      </c>
      <c r="C63" t="s">
        <v>22</v>
      </c>
      <c r="D63" t="s">
        <v>43</v>
      </c>
      <c r="E63" t="s">
        <v>44</v>
      </c>
      <c r="F63" s="5">
        <v>5500</v>
      </c>
      <c r="G63" t="s">
        <v>104</v>
      </c>
    </row>
    <row r="64" spans="1:7">
      <c r="A64">
        <v>2026</v>
      </c>
      <c r="B64" t="s">
        <v>7</v>
      </c>
      <c r="C64" t="s">
        <v>22</v>
      </c>
      <c r="D64" t="s">
        <v>43</v>
      </c>
      <c r="E64" t="s">
        <v>44</v>
      </c>
      <c r="F64" s="5">
        <v>5500</v>
      </c>
      <c r="G64" t="s">
        <v>104</v>
      </c>
    </row>
    <row r="65" spans="1:7">
      <c r="A65">
        <v>2026</v>
      </c>
      <c r="B65" t="s">
        <v>8</v>
      </c>
      <c r="C65" t="s">
        <v>22</v>
      </c>
      <c r="D65" t="s">
        <v>43</v>
      </c>
      <c r="E65" t="s">
        <v>44</v>
      </c>
      <c r="F65" s="5">
        <v>5500</v>
      </c>
      <c r="G65" t="s">
        <v>104</v>
      </c>
    </row>
    <row r="66" spans="1:7">
      <c r="A66">
        <v>2026</v>
      </c>
      <c r="B66" t="s">
        <v>9</v>
      </c>
      <c r="C66" t="s">
        <v>22</v>
      </c>
      <c r="D66" t="s">
        <v>43</v>
      </c>
      <c r="E66" t="s">
        <v>44</v>
      </c>
      <c r="F66" s="5">
        <v>5500</v>
      </c>
      <c r="G66" t="s">
        <v>104</v>
      </c>
    </row>
    <row r="67" spans="1:7">
      <c r="A67">
        <v>2026</v>
      </c>
      <c r="B67" t="s">
        <v>10</v>
      </c>
      <c r="C67" t="s">
        <v>22</v>
      </c>
      <c r="D67" t="s">
        <v>43</v>
      </c>
      <c r="E67" t="s">
        <v>44</v>
      </c>
      <c r="F67" s="5">
        <v>5500</v>
      </c>
      <c r="G67" t="s">
        <v>104</v>
      </c>
    </row>
    <row r="68" spans="1:7">
      <c r="A68">
        <v>2026</v>
      </c>
      <c r="B68" t="s">
        <v>11</v>
      </c>
      <c r="C68" t="s">
        <v>22</v>
      </c>
      <c r="D68" t="s">
        <v>43</v>
      </c>
      <c r="E68" t="s">
        <v>44</v>
      </c>
      <c r="F68" s="5">
        <v>5500</v>
      </c>
      <c r="G68" t="s">
        <v>104</v>
      </c>
    </row>
    <row r="69" spans="1:7">
      <c r="A69">
        <v>2026</v>
      </c>
      <c r="B69" t="s">
        <v>12</v>
      </c>
      <c r="C69" t="s">
        <v>22</v>
      </c>
      <c r="D69" t="s">
        <v>43</v>
      </c>
      <c r="E69" t="s">
        <v>44</v>
      </c>
      <c r="F69" s="5">
        <v>5500</v>
      </c>
      <c r="G69" t="s">
        <v>104</v>
      </c>
    </row>
    <row r="70" spans="1:7">
      <c r="A70">
        <v>2026</v>
      </c>
      <c r="B70" t="s">
        <v>1</v>
      </c>
      <c r="C70" t="s">
        <v>22</v>
      </c>
      <c r="D70" t="s">
        <v>43</v>
      </c>
      <c r="E70" t="s">
        <v>99</v>
      </c>
      <c r="F70" s="5">
        <v>1306.33</v>
      </c>
      <c r="G70" t="s">
        <v>104</v>
      </c>
    </row>
    <row r="71" spans="1:7">
      <c r="A71">
        <v>2026</v>
      </c>
      <c r="B71" t="s">
        <v>2</v>
      </c>
      <c r="C71" t="s">
        <v>22</v>
      </c>
      <c r="D71" t="s">
        <v>43</v>
      </c>
      <c r="E71" t="s">
        <v>99</v>
      </c>
      <c r="F71" s="5">
        <v>1306.33</v>
      </c>
      <c r="G71" t="s">
        <v>104</v>
      </c>
    </row>
    <row r="72" spans="1:7">
      <c r="A72">
        <v>2026</v>
      </c>
      <c r="B72" t="s">
        <v>3</v>
      </c>
      <c r="C72" t="s">
        <v>22</v>
      </c>
      <c r="D72" t="s">
        <v>43</v>
      </c>
      <c r="E72" t="s">
        <v>99</v>
      </c>
      <c r="F72" s="5">
        <v>1306.33</v>
      </c>
      <c r="G72" t="s">
        <v>104</v>
      </c>
    </row>
    <row r="73" spans="1:7">
      <c r="A73">
        <v>2026</v>
      </c>
      <c r="B73" t="s">
        <v>4</v>
      </c>
      <c r="C73" t="s">
        <v>22</v>
      </c>
      <c r="D73" t="s">
        <v>43</v>
      </c>
      <c r="E73" t="s">
        <v>99</v>
      </c>
      <c r="F73" s="5">
        <v>1306.33</v>
      </c>
      <c r="G73" t="s">
        <v>104</v>
      </c>
    </row>
    <row r="74" spans="1:7">
      <c r="A74">
        <v>2026</v>
      </c>
      <c r="B74" t="s">
        <v>5</v>
      </c>
      <c r="C74" t="s">
        <v>22</v>
      </c>
      <c r="D74" t="s">
        <v>43</v>
      </c>
      <c r="E74" t="s">
        <v>99</v>
      </c>
      <c r="F74" s="5">
        <v>1306.33</v>
      </c>
      <c r="G74" t="s">
        <v>104</v>
      </c>
    </row>
    <row r="75" spans="1:7">
      <c r="A75">
        <v>2026</v>
      </c>
      <c r="B75" t="s">
        <v>6</v>
      </c>
      <c r="C75" t="s">
        <v>22</v>
      </c>
      <c r="D75" t="s">
        <v>43</v>
      </c>
      <c r="E75" t="s">
        <v>99</v>
      </c>
      <c r="F75" s="5">
        <v>1306.33</v>
      </c>
      <c r="G75" t="s">
        <v>104</v>
      </c>
    </row>
    <row r="76" spans="1:7">
      <c r="A76">
        <v>2026</v>
      </c>
      <c r="B76" t="s">
        <v>7</v>
      </c>
      <c r="C76" t="s">
        <v>22</v>
      </c>
      <c r="D76" t="s">
        <v>43</v>
      </c>
      <c r="E76" t="s">
        <v>99</v>
      </c>
      <c r="F76" s="5">
        <v>1306.33</v>
      </c>
      <c r="G76" t="s">
        <v>104</v>
      </c>
    </row>
    <row r="77" spans="1:7">
      <c r="A77">
        <v>2026</v>
      </c>
      <c r="B77" t="s">
        <v>8</v>
      </c>
      <c r="C77" t="s">
        <v>22</v>
      </c>
      <c r="D77" t="s">
        <v>43</v>
      </c>
      <c r="E77" t="s">
        <v>99</v>
      </c>
      <c r="F77" s="5">
        <v>1306.33</v>
      </c>
      <c r="G77" t="s">
        <v>104</v>
      </c>
    </row>
    <row r="78" spans="1:7">
      <c r="A78">
        <v>2026</v>
      </c>
      <c r="B78" t="s">
        <v>9</v>
      </c>
      <c r="C78" t="s">
        <v>22</v>
      </c>
      <c r="D78" t="s">
        <v>43</v>
      </c>
      <c r="E78" t="s">
        <v>99</v>
      </c>
      <c r="F78" s="5">
        <v>1306.33</v>
      </c>
      <c r="G78" t="s">
        <v>104</v>
      </c>
    </row>
    <row r="79" spans="1:7">
      <c r="A79">
        <v>2026</v>
      </c>
      <c r="B79" t="s">
        <v>10</v>
      </c>
      <c r="C79" t="s">
        <v>22</v>
      </c>
      <c r="D79" t="s">
        <v>43</v>
      </c>
      <c r="E79" t="s">
        <v>99</v>
      </c>
      <c r="F79" s="5">
        <v>1306.33</v>
      </c>
      <c r="G79" t="s">
        <v>104</v>
      </c>
    </row>
    <row r="80" spans="1:7">
      <c r="A80">
        <v>2026</v>
      </c>
      <c r="B80" t="s">
        <v>11</v>
      </c>
      <c r="C80" t="s">
        <v>22</v>
      </c>
      <c r="D80" t="s">
        <v>43</v>
      </c>
      <c r="E80" t="s">
        <v>99</v>
      </c>
      <c r="F80" s="5">
        <v>1306.33</v>
      </c>
      <c r="G80" t="s">
        <v>104</v>
      </c>
    </row>
    <row r="81" spans="1:7">
      <c r="A81">
        <v>2026</v>
      </c>
      <c r="B81" t="s">
        <v>12</v>
      </c>
      <c r="C81" t="s">
        <v>22</v>
      </c>
      <c r="D81" t="s">
        <v>43</v>
      </c>
      <c r="E81" t="s">
        <v>99</v>
      </c>
      <c r="F81" s="5">
        <v>1306.33</v>
      </c>
      <c r="G81" t="s">
        <v>104</v>
      </c>
    </row>
    <row r="82" spans="1:7">
      <c r="A82">
        <v>2026</v>
      </c>
      <c r="B82" t="s">
        <v>1</v>
      </c>
      <c r="C82" t="s">
        <v>22</v>
      </c>
      <c r="D82" t="s">
        <v>43</v>
      </c>
      <c r="E82" t="s">
        <v>101</v>
      </c>
      <c r="F82" s="5">
        <v>2549.68</v>
      </c>
      <c r="G82" t="s">
        <v>104</v>
      </c>
    </row>
    <row r="83" spans="1:7">
      <c r="A83">
        <v>2026</v>
      </c>
      <c r="B83" t="s">
        <v>2</v>
      </c>
      <c r="C83" t="s">
        <v>22</v>
      </c>
      <c r="D83" t="s">
        <v>43</v>
      </c>
      <c r="E83" t="s">
        <v>101</v>
      </c>
      <c r="F83" s="5">
        <v>720000</v>
      </c>
      <c r="G83" t="s">
        <v>104</v>
      </c>
    </row>
    <row r="84" spans="1:7">
      <c r="A84">
        <v>2026</v>
      </c>
      <c r="B84" t="s">
        <v>4</v>
      </c>
      <c r="C84" t="s">
        <v>22</v>
      </c>
      <c r="D84" t="s">
        <v>43</v>
      </c>
      <c r="E84" t="s">
        <v>101</v>
      </c>
      <c r="F84" s="5">
        <v>400000</v>
      </c>
      <c r="G84" t="s">
        <v>104</v>
      </c>
    </row>
    <row r="85" spans="1:7">
      <c r="A85">
        <v>2026</v>
      </c>
      <c r="B85" t="s">
        <v>5</v>
      </c>
      <c r="C85" t="s">
        <v>22</v>
      </c>
      <c r="D85" t="s">
        <v>43</v>
      </c>
      <c r="E85" t="s">
        <v>101</v>
      </c>
      <c r="F85" s="5">
        <v>6000</v>
      </c>
      <c r="G85" t="s">
        <v>104</v>
      </c>
    </row>
    <row r="86" spans="1:7">
      <c r="A86">
        <v>2026</v>
      </c>
      <c r="B86" t="s">
        <v>4</v>
      </c>
      <c r="C86" t="s">
        <v>22</v>
      </c>
      <c r="D86" t="s">
        <v>43</v>
      </c>
      <c r="E86" t="s">
        <v>102</v>
      </c>
      <c r="F86" s="5">
        <v>395.12</v>
      </c>
      <c r="G86" t="s">
        <v>104</v>
      </c>
    </row>
    <row r="87" spans="1:7">
      <c r="A87">
        <v>2026</v>
      </c>
      <c r="B87" t="s">
        <v>5</v>
      </c>
      <c r="C87" t="s">
        <v>22</v>
      </c>
      <c r="D87" t="s">
        <v>43</v>
      </c>
      <c r="E87" t="s">
        <v>102</v>
      </c>
      <c r="F87" s="5">
        <v>379.7</v>
      </c>
      <c r="G87" t="s">
        <v>104</v>
      </c>
    </row>
    <row r="88" spans="1:7">
      <c r="A88">
        <v>2026</v>
      </c>
      <c r="B88" t="s">
        <v>5</v>
      </c>
      <c r="C88" t="s">
        <v>22</v>
      </c>
      <c r="D88" t="s">
        <v>43</v>
      </c>
      <c r="E88" t="s">
        <v>105</v>
      </c>
      <c r="F88" s="5">
        <v>12049.35</v>
      </c>
      <c r="G88" t="s">
        <v>104</v>
      </c>
    </row>
    <row r="89" spans="1:7">
      <c r="A89">
        <v>2026</v>
      </c>
      <c r="B89" t="s">
        <v>2</v>
      </c>
      <c r="C89" t="s">
        <v>24</v>
      </c>
      <c r="D89" t="s">
        <v>42</v>
      </c>
      <c r="E89" t="s">
        <v>97</v>
      </c>
      <c r="F89" s="5">
        <v>110000</v>
      </c>
      <c r="G89" t="s">
        <v>106</v>
      </c>
    </row>
    <row r="90" spans="1:7">
      <c r="A90">
        <v>2026</v>
      </c>
      <c r="B90" t="s">
        <v>5</v>
      </c>
      <c r="C90" t="s">
        <v>24</v>
      </c>
      <c r="D90" t="s">
        <v>42</v>
      </c>
      <c r="E90" t="s">
        <v>97</v>
      </c>
      <c r="F90" s="5">
        <v>28582.68</v>
      </c>
      <c r="G90" t="s">
        <v>106</v>
      </c>
    </row>
    <row r="91" spans="1:7">
      <c r="A91">
        <v>2026</v>
      </c>
      <c r="B91" t="s">
        <v>2</v>
      </c>
      <c r="C91" t="s">
        <v>24</v>
      </c>
      <c r="D91" t="s">
        <v>43</v>
      </c>
      <c r="E91" t="s">
        <v>44</v>
      </c>
      <c r="F91" s="5">
        <v>7000</v>
      </c>
      <c r="G91" t="s">
        <v>106</v>
      </c>
    </row>
    <row r="92" spans="1:7">
      <c r="A92">
        <v>2026</v>
      </c>
      <c r="B92" t="s">
        <v>3</v>
      </c>
      <c r="C92" t="s">
        <v>24</v>
      </c>
      <c r="D92" t="s">
        <v>43</v>
      </c>
      <c r="E92" t="s">
        <v>44</v>
      </c>
      <c r="F92" s="5">
        <v>7000</v>
      </c>
      <c r="G92" t="s">
        <v>106</v>
      </c>
    </row>
    <row r="93" spans="1:7">
      <c r="A93">
        <v>2026</v>
      </c>
      <c r="B93" t="s">
        <v>4</v>
      </c>
      <c r="C93" t="s">
        <v>24</v>
      </c>
      <c r="D93" t="s">
        <v>43</v>
      </c>
      <c r="E93" t="s">
        <v>44</v>
      </c>
      <c r="F93" s="5">
        <v>10000</v>
      </c>
      <c r="G93" t="s">
        <v>106</v>
      </c>
    </row>
    <row r="94" spans="1:7">
      <c r="A94">
        <v>2026</v>
      </c>
      <c r="B94" t="s">
        <v>2</v>
      </c>
      <c r="C94" t="s">
        <v>24</v>
      </c>
      <c r="D94" t="s">
        <v>43</v>
      </c>
      <c r="E94" t="s">
        <v>99</v>
      </c>
      <c r="F94" s="5">
        <v>1306.33</v>
      </c>
      <c r="G94" t="s">
        <v>106</v>
      </c>
    </row>
    <row r="95" spans="1:7">
      <c r="A95">
        <v>2026</v>
      </c>
      <c r="B95" t="s">
        <v>3</v>
      </c>
      <c r="C95" t="s">
        <v>24</v>
      </c>
      <c r="D95" t="s">
        <v>43</v>
      </c>
      <c r="E95" t="s">
        <v>99</v>
      </c>
      <c r="F95" s="5">
        <v>1306.33</v>
      </c>
      <c r="G95" t="s">
        <v>106</v>
      </c>
    </row>
    <row r="96" spans="1:7">
      <c r="A96">
        <v>2026</v>
      </c>
      <c r="B96" t="s">
        <v>4</v>
      </c>
      <c r="C96" t="s">
        <v>24</v>
      </c>
      <c r="D96" t="s">
        <v>43</v>
      </c>
      <c r="E96" t="s">
        <v>99</v>
      </c>
      <c r="F96" s="5">
        <v>1306.33</v>
      </c>
      <c r="G96" t="s">
        <v>106</v>
      </c>
    </row>
    <row r="97" spans="1:7">
      <c r="A97">
        <v>2026</v>
      </c>
      <c r="B97" t="s">
        <v>4</v>
      </c>
      <c r="C97" t="s">
        <v>25</v>
      </c>
      <c r="D97" t="s">
        <v>42</v>
      </c>
      <c r="E97" t="s">
        <v>97</v>
      </c>
      <c r="F97" s="5">
        <v>-44700</v>
      </c>
      <c r="G97" t="s">
        <v>107</v>
      </c>
    </row>
    <row r="98" spans="1:7">
      <c r="A98">
        <v>2026</v>
      </c>
      <c r="B98" t="s">
        <v>5</v>
      </c>
      <c r="C98" t="s">
        <v>25</v>
      </c>
      <c r="D98" t="s">
        <v>42</v>
      </c>
      <c r="E98" t="s">
        <v>97</v>
      </c>
      <c r="F98" s="5">
        <v>-16146.69</v>
      </c>
      <c r="G98" t="s">
        <v>107</v>
      </c>
    </row>
    <row r="99" spans="1:7">
      <c r="A99">
        <v>2026</v>
      </c>
      <c r="B99" t="s">
        <v>3</v>
      </c>
      <c r="C99" t="s">
        <v>25</v>
      </c>
      <c r="D99" t="s">
        <v>43</v>
      </c>
      <c r="E99" t="s">
        <v>108</v>
      </c>
      <c r="F99" s="5">
        <v>5000</v>
      </c>
      <c r="G99" t="s">
        <v>107</v>
      </c>
    </row>
    <row r="100" spans="1:7">
      <c r="A100">
        <v>2026</v>
      </c>
      <c r="B100" t="s">
        <v>3</v>
      </c>
      <c r="C100" t="s">
        <v>25</v>
      </c>
      <c r="D100" t="s">
        <v>43</v>
      </c>
      <c r="E100" t="s">
        <v>109</v>
      </c>
      <c r="F100" s="5">
        <v>5000</v>
      </c>
      <c r="G100" t="s">
        <v>107</v>
      </c>
    </row>
    <row r="101" spans="1:7">
      <c r="A101">
        <v>2026</v>
      </c>
      <c r="B101" t="s">
        <v>3</v>
      </c>
      <c r="C101" t="s">
        <v>25</v>
      </c>
      <c r="D101" t="s">
        <v>43</v>
      </c>
      <c r="E101" t="s">
        <v>110</v>
      </c>
      <c r="F101" s="5">
        <v>-5000</v>
      </c>
      <c r="G101" t="s">
        <v>107</v>
      </c>
    </row>
    <row r="102" spans="1:7">
      <c r="A102">
        <v>2026</v>
      </c>
      <c r="B102" t="s">
        <v>5</v>
      </c>
      <c r="C102" t="s">
        <v>25</v>
      </c>
      <c r="D102" t="s">
        <v>43</v>
      </c>
      <c r="E102" t="s">
        <v>108</v>
      </c>
      <c r="F102" s="5">
        <v>2401.38</v>
      </c>
      <c r="G102" t="s">
        <v>107</v>
      </c>
    </row>
    <row r="103" spans="1:7">
      <c r="A103">
        <v>2026</v>
      </c>
      <c r="B103" t="s">
        <v>5</v>
      </c>
      <c r="C103" t="s">
        <v>25</v>
      </c>
      <c r="D103" t="s">
        <v>43</v>
      </c>
      <c r="E103" t="s">
        <v>111</v>
      </c>
      <c r="F103" s="5">
        <v>2222</v>
      </c>
      <c r="G103" t="s">
        <v>107</v>
      </c>
    </row>
    <row r="104" spans="1:7">
      <c r="A104">
        <v>2026</v>
      </c>
      <c r="B104" t="s">
        <v>5</v>
      </c>
      <c r="C104" t="s">
        <v>25</v>
      </c>
      <c r="D104" t="s">
        <v>43</v>
      </c>
      <c r="E104" t="s">
        <v>112</v>
      </c>
      <c r="F104" s="5">
        <v>179.38</v>
      </c>
      <c r="G104" t="s">
        <v>107</v>
      </c>
    </row>
    <row r="105" spans="1:7">
      <c r="A105">
        <v>2026</v>
      </c>
      <c r="B105" t="s">
        <v>5</v>
      </c>
      <c r="C105" t="s">
        <v>25</v>
      </c>
      <c r="D105" t="s">
        <v>43</v>
      </c>
      <c r="E105" t="s">
        <v>113</v>
      </c>
      <c r="F105" s="5">
        <v>179.38</v>
      </c>
      <c r="G105" t="s">
        <v>107</v>
      </c>
    </row>
    <row r="106" spans="1:7">
      <c r="A106">
        <v>2026</v>
      </c>
      <c r="B106" t="s">
        <v>5</v>
      </c>
      <c r="C106" t="s">
        <v>25</v>
      </c>
      <c r="D106" t="s">
        <v>43</v>
      </c>
      <c r="E106" t="s">
        <v>110</v>
      </c>
      <c r="F106" s="5">
        <v>-2401.38</v>
      </c>
      <c r="G106" t="s">
        <v>107</v>
      </c>
    </row>
    <row r="107" spans="1:7">
      <c r="A107">
        <v>2026</v>
      </c>
      <c r="B107" t="s">
        <v>5</v>
      </c>
      <c r="C107" t="s">
        <v>27</v>
      </c>
      <c r="D107" t="s">
        <v>42</v>
      </c>
      <c r="E107" t="s">
        <v>97</v>
      </c>
      <c r="F107" s="5">
        <v>-5994.6</v>
      </c>
      <c r="G107" t="s">
        <v>114</v>
      </c>
    </row>
    <row r="108" spans="1:7">
      <c r="A108">
        <v>2026</v>
      </c>
      <c r="B108" t="s">
        <v>5</v>
      </c>
      <c r="C108" t="s">
        <v>28</v>
      </c>
      <c r="D108" t="s">
        <v>43</v>
      </c>
      <c r="E108" t="s">
        <v>113</v>
      </c>
      <c r="F108" s="5">
        <v>179.38</v>
      </c>
      <c r="G108" t="s">
        <v>115</v>
      </c>
    </row>
    <row r="109" spans="1:7">
      <c r="A109">
        <v>2026</v>
      </c>
    </row>
    <row r="110" spans="1:7">
      <c r="A110">
        <v>2026</v>
      </c>
    </row>
    <row r="111" spans="1:7">
      <c r="A111">
        <v>2026</v>
      </c>
    </row>
    <row r="112" spans="1:7">
      <c r="A112">
        <v>2026</v>
      </c>
    </row>
    <row r="113" spans="1:1">
      <c r="A113">
        <v>2026</v>
      </c>
    </row>
    <row r="114" spans="1:1">
      <c r="A114">
        <v>2026</v>
      </c>
    </row>
    <row r="115" spans="1:1">
      <c r="A115">
        <v>2026</v>
      </c>
    </row>
    <row r="116" spans="1:1">
      <c r="A116">
        <v>2026</v>
      </c>
    </row>
    <row r="117" spans="1:1">
      <c r="A117">
        <v>2026</v>
      </c>
    </row>
    <row r="118" spans="1:1">
      <c r="A118">
        <v>2026</v>
      </c>
    </row>
    <row r="119" spans="1:1">
      <c r="A119">
        <v>2026</v>
      </c>
    </row>
    <row r="120" spans="1:1">
      <c r="A120">
        <v>2026</v>
      </c>
    </row>
    <row r="121" spans="1:1">
      <c r="A121">
        <v>2026</v>
      </c>
    </row>
    <row r="122" spans="1:1">
      <c r="A122">
        <v>2026</v>
      </c>
    </row>
    <row r="123" spans="1:1">
      <c r="A123">
        <v>2026</v>
      </c>
    </row>
    <row r="124" spans="1:1">
      <c r="A124">
        <v>2026</v>
      </c>
    </row>
    <row r="125" spans="1:1">
      <c r="A125">
        <v>2026</v>
      </c>
    </row>
    <row r="126" spans="1:1">
      <c r="A126">
        <v>2026</v>
      </c>
    </row>
    <row r="127" spans="1:1">
      <c r="A127">
        <v>2026</v>
      </c>
    </row>
    <row r="128" spans="1:1">
      <c r="A128">
        <v>2026</v>
      </c>
    </row>
    <row r="129" spans="1:1">
      <c r="A129">
        <v>2026</v>
      </c>
    </row>
    <row r="130" spans="1:1">
      <c r="A130">
        <v>2026</v>
      </c>
    </row>
    <row r="131" spans="1:1">
      <c r="A131">
        <v>2026</v>
      </c>
    </row>
    <row r="132" spans="1:1">
      <c r="A132">
        <v>2026</v>
      </c>
    </row>
    <row r="133" spans="1:1">
      <c r="A133">
        <v>2026</v>
      </c>
    </row>
    <row r="134" spans="1:1">
      <c r="A134">
        <v>2026</v>
      </c>
    </row>
    <row r="135" spans="1:1">
      <c r="A135">
        <v>2026</v>
      </c>
    </row>
    <row r="136" spans="1:1">
      <c r="A136">
        <v>2026</v>
      </c>
    </row>
    <row r="137" spans="1:1">
      <c r="A137">
        <v>2026</v>
      </c>
    </row>
    <row r="138" spans="1:1">
      <c r="A138">
        <v>2026</v>
      </c>
    </row>
  </sheetData>
  <dataValidations count="3">
    <dataValidation type="list" allowBlank="1" showInputMessage="1" showErrorMessage="1" sqref="B2:B138">
      <formula1>list_月份</formula1>
    </dataValidation>
    <dataValidation type="list" allowBlank="1" showInputMessage="1" showErrorMessage="1" sqref="C2:C138">
      <formula1>list_对象</formula1>
    </dataValidation>
    <dataValidation type="list" allowBlank="1" showInputMessage="1" showErrorMessage="1" sqref="D2:D138">
      <formula1>list_对象收支类型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H153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8.7109375" customWidth="1"/>
    <col min="2" max="2" width="12.7109375" style="6" customWidth="1"/>
    <col min="3" max="3" width="42.7109375" customWidth="1"/>
    <col min="4" max="6" width="14.7109375" style="5" customWidth="1"/>
    <col min="7" max="7" width="16.7109375" customWidth="1"/>
    <col min="8" max="8" width="24.7109375" customWidth="1"/>
  </cols>
  <sheetData>
    <row r="1" spans="1:8">
      <c r="A1" t="s">
        <v>116</v>
      </c>
      <c r="B1" s="6" t="s">
        <v>117</v>
      </c>
      <c r="C1" t="s">
        <v>118</v>
      </c>
      <c r="D1" s="5" t="s">
        <v>119</v>
      </c>
      <c r="E1" s="5" t="s">
        <v>120</v>
      </c>
      <c r="F1" s="5" t="s">
        <v>121</v>
      </c>
      <c r="G1" t="s">
        <v>122</v>
      </c>
      <c r="H1" t="s">
        <v>69</v>
      </c>
    </row>
    <row r="2" spans="1:8">
      <c r="A2" t="s">
        <v>30</v>
      </c>
      <c r="B2" s="6">
        <v>45736</v>
      </c>
      <c r="C2" t="s">
        <v>123</v>
      </c>
      <c r="D2" s="5">
        <v>30000</v>
      </c>
      <c r="F2" s="5">
        <v>30000</v>
      </c>
      <c r="G2" t="s">
        <v>124</v>
      </c>
    </row>
    <row r="3" spans="1:8">
      <c r="A3" t="s">
        <v>30</v>
      </c>
      <c r="B3" s="6">
        <v>45736</v>
      </c>
      <c r="C3" t="s">
        <v>125</v>
      </c>
      <c r="D3" s="5">
        <v>0.08</v>
      </c>
      <c r="F3" s="5">
        <v>30000.08</v>
      </c>
      <c r="G3" t="s">
        <v>126</v>
      </c>
    </row>
    <row r="4" spans="1:8">
      <c r="A4" t="s">
        <v>30</v>
      </c>
      <c r="B4" s="6">
        <v>45799</v>
      </c>
      <c r="C4" t="s">
        <v>127</v>
      </c>
      <c r="E4" s="5">
        <v>2110.9</v>
      </c>
      <c r="F4" s="5">
        <v>27889.18</v>
      </c>
      <c r="G4" t="s">
        <v>128</v>
      </c>
    </row>
    <row r="5" spans="1:8">
      <c r="A5" t="s">
        <v>30</v>
      </c>
      <c r="B5" s="6">
        <v>45799</v>
      </c>
      <c r="C5" t="s">
        <v>126</v>
      </c>
      <c r="E5" s="5">
        <v>4.5</v>
      </c>
      <c r="F5" s="5">
        <v>27884.68</v>
      </c>
      <c r="G5" t="s">
        <v>126</v>
      </c>
    </row>
    <row r="6" spans="1:8">
      <c r="A6" t="s">
        <v>30</v>
      </c>
      <c r="B6" s="6">
        <v>45800</v>
      </c>
      <c r="C6" t="s">
        <v>129</v>
      </c>
      <c r="D6" s="5">
        <v>1300</v>
      </c>
      <c r="F6" s="5">
        <v>29184.68</v>
      </c>
      <c r="G6" t="s">
        <v>128</v>
      </c>
    </row>
    <row r="7" spans="1:8">
      <c r="A7" t="s">
        <v>30</v>
      </c>
      <c r="B7" s="6">
        <v>45806</v>
      </c>
      <c r="C7" t="s">
        <v>130</v>
      </c>
      <c r="D7" s="5">
        <v>900</v>
      </c>
      <c r="F7" s="5">
        <v>30084.68</v>
      </c>
      <c r="G7" t="s">
        <v>128</v>
      </c>
    </row>
    <row r="8" spans="1:8">
      <c r="A8" t="s">
        <v>30</v>
      </c>
      <c r="B8" s="6">
        <v>45818</v>
      </c>
      <c r="C8" t="s">
        <v>131</v>
      </c>
      <c r="E8" s="5">
        <v>30000</v>
      </c>
      <c r="F8" s="5">
        <v>84.68000000000031</v>
      </c>
      <c r="G8" t="s">
        <v>124</v>
      </c>
    </row>
    <row r="9" spans="1:8">
      <c r="A9" t="s">
        <v>30</v>
      </c>
      <c r="B9" s="6">
        <v>45818</v>
      </c>
      <c r="C9" t="s">
        <v>126</v>
      </c>
      <c r="E9" s="5">
        <v>9</v>
      </c>
      <c r="F9" s="5">
        <v>75.68000000000031</v>
      </c>
      <c r="G9" t="s">
        <v>126</v>
      </c>
    </row>
    <row r="10" spans="1:8">
      <c r="A10" t="s">
        <v>30</v>
      </c>
      <c r="B10" s="6">
        <v>45828</v>
      </c>
      <c r="C10" t="s">
        <v>125</v>
      </c>
      <c r="D10" s="5">
        <v>5.87</v>
      </c>
      <c r="F10" s="5">
        <v>81.5500000000003</v>
      </c>
      <c r="G10" t="s">
        <v>126</v>
      </c>
    </row>
    <row r="11" spans="1:8">
      <c r="A11" t="s">
        <v>30</v>
      </c>
      <c r="B11" s="6">
        <v>45831</v>
      </c>
      <c r="C11" t="s">
        <v>132</v>
      </c>
      <c r="D11" s="5">
        <v>7523.23</v>
      </c>
      <c r="F11" s="5">
        <v>7604.78</v>
      </c>
      <c r="G11" t="s">
        <v>133</v>
      </c>
    </row>
    <row r="12" spans="1:8">
      <c r="A12" t="s">
        <v>30</v>
      </c>
      <c r="B12" s="6">
        <v>45832</v>
      </c>
      <c r="C12" t="s">
        <v>134</v>
      </c>
      <c r="E12" s="5">
        <v>400</v>
      </c>
      <c r="F12" s="5">
        <v>7204.78</v>
      </c>
      <c r="G12" t="s">
        <v>135</v>
      </c>
    </row>
    <row r="13" spans="1:8">
      <c r="A13" t="s">
        <v>30</v>
      </c>
      <c r="B13" s="6">
        <v>45832</v>
      </c>
      <c r="C13" t="s">
        <v>126</v>
      </c>
      <c r="E13" s="5">
        <v>4.5</v>
      </c>
      <c r="F13" s="5">
        <v>7200.28</v>
      </c>
      <c r="G13" t="s">
        <v>126</v>
      </c>
    </row>
    <row r="14" spans="1:8">
      <c r="A14" t="s">
        <v>30</v>
      </c>
      <c r="B14" s="6">
        <v>45832</v>
      </c>
      <c r="C14" t="s">
        <v>136</v>
      </c>
      <c r="D14" s="5">
        <v>400</v>
      </c>
      <c r="F14" s="5">
        <v>7600.28</v>
      </c>
      <c r="G14" t="s">
        <v>135</v>
      </c>
    </row>
    <row r="15" spans="1:8">
      <c r="A15" t="s">
        <v>30</v>
      </c>
      <c r="B15" s="6">
        <v>45846</v>
      </c>
      <c r="C15" t="s">
        <v>137</v>
      </c>
      <c r="D15" s="5">
        <v>30000</v>
      </c>
      <c r="F15" s="5">
        <v>37600.28</v>
      </c>
      <c r="G15" t="s">
        <v>124</v>
      </c>
    </row>
    <row r="16" spans="1:8">
      <c r="A16" t="s">
        <v>30</v>
      </c>
      <c r="B16" s="6">
        <v>45846</v>
      </c>
      <c r="C16" t="s">
        <v>138</v>
      </c>
      <c r="E16" s="5">
        <v>30000</v>
      </c>
      <c r="F16" s="5">
        <v>7600.28</v>
      </c>
      <c r="G16" t="s">
        <v>124</v>
      </c>
    </row>
    <row r="17" spans="1:7">
      <c r="A17" t="s">
        <v>30</v>
      </c>
      <c r="B17" s="6">
        <v>45846</v>
      </c>
      <c r="C17" t="s">
        <v>126</v>
      </c>
      <c r="E17" s="5">
        <v>9</v>
      </c>
      <c r="F17" s="5">
        <v>7591.28</v>
      </c>
      <c r="G17" t="s">
        <v>126</v>
      </c>
    </row>
    <row r="18" spans="1:7">
      <c r="A18" t="s">
        <v>30</v>
      </c>
      <c r="B18" s="6">
        <v>45870</v>
      </c>
      <c r="C18" t="s">
        <v>139</v>
      </c>
      <c r="E18" s="5">
        <v>2500</v>
      </c>
      <c r="F18" s="5">
        <v>5091.28</v>
      </c>
      <c r="G18" t="s">
        <v>135</v>
      </c>
    </row>
    <row r="19" spans="1:7">
      <c r="A19" t="s">
        <v>30</v>
      </c>
      <c r="B19" s="6">
        <v>45870</v>
      </c>
      <c r="C19" t="s">
        <v>126</v>
      </c>
      <c r="E19" s="5">
        <v>4.5</v>
      </c>
      <c r="F19" s="5">
        <v>5086.78</v>
      </c>
      <c r="G19" t="s">
        <v>126</v>
      </c>
    </row>
    <row r="20" spans="1:7">
      <c r="A20" t="s">
        <v>30</v>
      </c>
      <c r="B20" s="6">
        <v>45873</v>
      </c>
      <c r="C20" t="s">
        <v>140</v>
      </c>
      <c r="D20" s="5">
        <v>1000</v>
      </c>
      <c r="F20" s="5">
        <v>6086.78</v>
      </c>
      <c r="G20" t="s">
        <v>135</v>
      </c>
    </row>
    <row r="21" spans="1:7">
      <c r="A21" t="s">
        <v>30</v>
      </c>
      <c r="B21" s="6">
        <v>45873</v>
      </c>
      <c r="C21" t="s">
        <v>141</v>
      </c>
      <c r="D21" s="5">
        <v>1125</v>
      </c>
      <c r="F21" s="5">
        <v>7211.78</v>
      </c>
      <c r="G21" t="s">
        <v>135</v>
      </c>
    </row>
    <row r="22" spans="1:7">
      <c r="A22" t="s">
        <v>30</v>
      </c>
      <c r="B22" s="6">
        <v>45894</v>
      </c>
      <c r="C22" t="s">
        <v>142</v>
      </c>
      <c r="E22" s="5">
        <v>1100</v>
      </c>
      <c r="F22" s="5">
        <v>6111.78</v>
      </c>
      <c r="G22" t="s">
        <v>135</v>
      </c>
    </row>
    <row r="23" spans="1:7">
      <c r="A23" t="s">
        <v>30</v>
      </c>
      <c r="B23" s="6">
        <v>45894</v>
      </c>
      <c r="C23" t="s">
        <v>126</v>
      </c>
      <c r="E23" s="5">
        <v>4.5</v>
      </c>
      <c r="F23" s="5">
        <v>6107.28</v>
      </c>
      <c r="G23" t="s">
        <v>126</v>
      </c>
    </row>
    <row r="24" spans="1:7">
      <c r="A24" t="s">
        <v>30</v>
      </c>
      <c r="B24" s="6">
        <v>45905</v>
      </c>
      <c r="C24" t="s">
        <v>141</v>
      </c>
      <c r="D24" s="5">
        <v>2625</v>
      </c>
      <c r="F24" s="5">
        <v>8732.280000000001</v>
      </c>
      <c r="G24" t="s">
        <v>135</v>
      </c>
    </row>
    <row r="25" spans="1:7">
      <c r="A25" t="s">
        <v>30</v>
      </c>
      <c r="B25" s="6">
        <v>45915</v>
      </c>
      <c r="C25" t="s">
        <v>143</v>
      </c>
      <c r="E25" s="5">
        <v>400</v>
      </c>
      <c r="F25" s="5">
        <v>8332.280000000001</v>
      </c>
      <c r="G25" t="s">
        <v>135</v>
      </c>
    </row>
    <row r="26" spans="1:7">
      <c r="A26" t="s">
        <v>30</v>
      </c>
      <c r="B26" s="6">
        <v>45915</v>
      </c>
      <c r="C26" t="s">
        <v>126</v>
      </c>
      <c r="E26" s="5">
        <v>4.5</v>
      </c>
      <c r="F26" s="5">
        <v>8327.780000000001</v>
      </c>
      <c r="G26" t="s">
        <v>126</v>
      </c>
    </row>
    <row r="27" spans="1:7">
      <c r="A27" t="s">
        <v>30</v>
      </c>
      <c r="B27" s="6">
        <v>45917</v>
      </c>
      <c r="C27" t="s">
        <v>144</v>
      </c>
      <c r="D27" s="5">
        <v>80000</v>
      </c>
      <c r="F27" s="5">
        <v>88327.78</v>
      </c>
      <c r="G27" t="s">
        <v>124</v>
      </c>
    </row>
    <row r="28" spans="1:7">
      <c r="A28" t="s">
        <v>30</v>
      </c>
      <c r="B28" s="6">
        <v>45918</v>
      </c>
      <c r="C28" t="s">
        <v>145</v>
      </c>
      <c r="E28" s="5">
        <v>50000</v>
      </c>
      <c r="F28" s="5">
        <v>38327.78</v>
      </c>
      <c r="G28" t="s">
        <v>124</v>
      </c>
    </row>
    <row r="29" spans="1:7">
      <c r="A29" t="s">
        <v>30</v>
      </c>
      <c r="B29" s="6">
        <v>45918</v>
      </c>
      <c r="C29" t="s">
        <v>126</v>
      </c>
      <c r="E29" s="5">
        <v>9</v>
      </c>
      <c r="F29" s="5">
        <v>38318.78</v>
      </c>
      <c r="G29" t="s">
        <v>126</v>
      </c>
    </row>
    <row r="30" spans="1:7">
      <c r="A30" t="s">
        <v>30</v>
      </c>
      <c r="B30" s="6">
        <v>45919</v>
      </c>
      <c r="C30" t="s">
        <v>145</v>
      </c>
      <c r="E30" s="5">
        <v>30000</v>
      </c>
      <c r="F30" s="5">
        <v>8318.780000000001</v>
      </c>
      <c r="G30" t="s">
        <v>124</v>
      </c>
    </row>
    <row r="31" spans="1:7">
      <c r="A31" t="s">
        <v>30</v>
      </c>
      <c r="B31" s="6">
        <v>45919</v>
      </c>
      <c r="C31" t="s">
        <v>126</v>
      </c>
      <c r="E31" s="5">
        <v>9</v>
      </c>
      <c r="F31" s="5">
        <v>8309.780000000001</v>
      </c>
      <c r="G31" t="s">
        <v>126</v>
      </c>
    </row>
    <row r="32" spans="1:7">
      <c r="A32" t="s">
        <v>30</v>
      </c>
      <c r="B32" s="6">
        <v>45920</v>
      </c>
      <c r="C32" t="s">
        <v>125</v>
      </c>
      <c r="D32" s="5">
        <v>1.08</v>
      </c>
      <c r="F32" s="5">
        <v>8310.860000000001</v>
      </c>
      <c r="G32" t="s">
        <v>126</v>
      </c>
    </row>
    <row r="33" spans="1:7">
      <c r="A33" t="s">
        <v>30</v>
      </c>
      <c r="B33" s="6">
        <v>45944</v>
      </c>
      <c r="C33" t="s">
        <v>144</v>
      </c>
      <c r="D33" s="5">
        <v>80000</v>
      </c>
      <c r="F33" s="5">
        <v>88310.86</v>
      </c>
      <c r="G33" t="s">
        <v>124</v>
      </c>
    </row>
    <row r="34" spans="1:7">
      <c r="A34" t="s">
        <v>30</v>
      </c>
      <c r="B34" s="6">
        <v>45944</v>
      </c>
      <c r="C34" t="s">
        <v>145</v>
      </c>
      <c r="E34" s="5">
        <v>50000</v>
      </c>
      <c r="F34" s="5">
        <v>38310.86</v>
      </c>
      <c r="G34" t="s">
        <v>124</v>
      </c>
    </row>
    <row r="35" spans="1:7">
      <c r="A35" t="s">
        <v>30</v>
      </c>
      <c r="B35" s="6">
        <v>45944</v>
      </c>
      <c r="C35" t="s">
        <v>126</v>
      </c>
      <c r="E35" s="5">
        <v>9</v>
      </c>
      <c r="F35" s="5">
        <v>38301.86</v>
      </c>
      <c r="G35" t="s">
        <v>126</v>
      </c>
    </row>
    <row r="36" spans="1:7">
      <c r="A36" t="s">
        <v>30</v>
      </c>
      <c r="B36" s="6">
        <v>45946</v>
      </c>
      <c r="C36" t="s">
        <v>145</v>
      </c>
      <c r="E36" s="5">
        <v>30000</v>
      </c>
      <c r="F36" s="5">
        <v>8301.860000000001</v>
      </c>
      <c r="G36" t="s">
        <v>124</v>
      </c>
    </row>
    <row r="37" spans="1:7">
      <c r="A37" t="s">
        <v>30</v>
      </c>
      <c r="B37" s="6">
        <v>45946</v>
      </c>
      <c r="C37" t="s">
        <v>126</v>
      </c>
      <c r="E37" s="5">
        <v>9</v>
      </c>
      <c r="F37" s="5">
        <v>8292.860000000001</v>
      </c>
      <c r="G37" t="s">
        <v>126</v>
      </c>
    </row>
    <row r="38" spans="1:7">
      <c r="A38" t="s">
        <v>30</v>
      </c>
      <c r="B38" s="6">
        <v>45971</v>
      </c>
      <c r="C38" t="s">
        <v>144</v>
      </c>
      <c r="D38" s="5">
        <v>80000</v>
      </c>
      <c r="F38" s="5">
        <v>88292.86</v>
      </c>
      <c r="G38" t="s">
        <v>124</v>
      </c>
    </row>
    <row r="39" spans="1:7">
      <c r="A39" t="s">
        <v>30</v>
      </c>
      <c r="B39" s="6">
        <v>45971</v>
      </c>
      <c r="C39" t="s">
        <v>145</v>
      </c>
      <c r="E39" s="5">
        <v>50000</v>
      </c>
      <c r="F39" s="5">
        <v>38292.86</v>
      </c>
      <c r="G39" t="s">
        <v>124</v>
      </c>
    </row>
    <row r="40" spans="1:7">
      <c r="A40" t="s">
        <v>30</v>
      </c>
      <c r="B40" s="6">
        <v>45971</v>
      </c>
      <c r="C40" t="s">
        <v>126</v>
      </c>
      <c r="E40" s="5">
        <v>9</v>
      </c>
      <c r="F40" s="5">
        <v>38283.86</v>
      </c>
      <c r="G40" t="s">
        <v>126</v>
      </c>
    </row>
    <row r="41" spans="1:7">
      <c r="A41" t="s">
        <v>30</v>
      </c>
      <c r="B41" s="6">
        <v>45972</v>
      </c>
      <c r="C41" t="s">
        <v>145</v>
      </c>
      <c r="E41" s="5">
        <v>30000</v>
      </c>
      <c r="F41" s="5">
        <v>8283.860000000001</v>
      </c>
      <c r="G41" t="s">
        <v>124</v>
      </c>
    </row>
    <row r="42" spans="1:7">
      <c r="A42" t="s">
        <v>30</v>
      </c>
      <c r="B42" s="6">
        <v>45972</v>
      </c>
      <c r="C42" t="s">
        <v>126</v>
      </c>
      <c r="E42" s="5">
        <v>9</v>
      </c>
      <c r="F42" s="5">
        <v>8274.860000000001</v>
      </c>
      <c r="G42" t="s">
        <v>126</v>
      </c>
    </row>
    <row r="43" spans="1:7">
      <c r="A43" t="s">
        <v>30</v>
      </c>
      <c r="B43" s="6">
        <v>45994</v>
      </c>
      <c r="C43" t="s">
        <v>144</v>
      </c>
      <c r="D43" s="5">
        <v>80000</v>
      </c>
      <c r="F43" s="5">
        <v>88274.86</v>
      </c>
      <c r="G43" t="s">
        <v>124</v>
      </c>
    </row>
    <row r="44" spans="1:7">
      <c r="A44" t="s">
        <v>30</v>
      </c>
      <c r="B44" s="6">
        <v>45995</v>
      </c>
      <c r="C44" t="s">
        <v>145</v>
      </c>
      <c r="E44" s="5">
        <v>50000</v>
      </c>
      <c r="F44" s="5">
        <v>38274.86</v>
      </c>
      <c r="G44" t="s">
        <v>124</v>
      </c>
    </row>
    <row r="45" spans="1:7">
      <c r="A45" t="s">
        <v>30</v>
      </c>
      <c r="B45" s="6">
        <v>45995</v>
      </c>
      <c r="C45" t="s">
        <v>126</v>
      </c>
      <c r="E45" s="5">
        <v>9</v>
      </c>
      <c r="F45" s="5">
        <v>38265.86</v>
      </c>
      <c r="G45" t="s">
        <v>126</v>
      </c>
    </row>
    <row r="46" spans="1:7">
      <c r="A46" t="s">
        <v>30</v>
      </c>
      <c r="B46" s="6">
        <v>45996</v>
      </c>
      <c r="C46" t="s">
        <v>145</v>
      </c>
      <c r="E46" s="5">
        <v>30000</v>
      </c>
      <c r="F46" s="5">
        <v>8265.860000000001</v>
      </c>
      <c r="G46" t="s">
        <v>124</v>
      </c>
    </row>
    <row r="47" spans="1:7">
      <c r="A47" t="s">
        <v>30</v>
      </c>
      <c r="B47" s="6">
        <v>45996</v>
      </c>
      <c r="C47" t="s">
        <v>126</v>
      </c>
      <c r="E47" s="5">
        <v>9</v>
      </c>
      <c r="F47" s="5">
        <v>8256.860000000001</v>
      </c>
      <c r="G47" t="s">
        <v>126</v>
      </c>
    </row>
    <row r="48" spans="1:7">
      <c r="A48" t="s">
        <v>30</v>
      </c>
      <c r="B48" s="6">
        <v>46011</v>
      </c>
      <c r="C48" t="s">
        <v>125</v>
      </c>
      <c r="D48" s="5">
        <v>1.33</v>
      </c>
      <c r="F48" s="5">
        <v>8258.190000000001</v>
      </c>
      <c r="G48" t="s">
        <v>126</v>
      </c>
    </row>
    <row r="49" spans="1:7">
      <c r="A49" t="s">
        <v>30</v>
      </c>
      <c r="B49" s="6">
        <v>46021</v>
      </c>
      <c r="C49" t="s">
        <v>146</v>
      </c>
      <c r="D49" s="5">
        <v>160000</v>
      </c>
      <c r="F49" s="5">
        <v>168258.19</v>
      </c>
      <c r="G49" t="s">
        <v>124</v>
      </c>
    </row>
    <row r="50" spans="1:7">
      <c r="A50" t="s">
        <v>30</v>
      </c>
      <c r="B50" s="6">
        <v>46021</v>
      </c>
      <c r="C50" t="s">
        <v>145</v>
      </c>
      <c r="E50" s="5">
        <v>50000</v>
      </c>
      <c r="F50" s="5">
        <v>118258.19</v>
      </c>
      <c r="G50" t="s">
        <v>124</v>
      </c>
    </row>
    <row r="51" spans="1:7">
      <c r="A51" t="s">
        <v>30</v>
      </c>
      <c r="B51" s="6">
        <v>46021</v>
      </c>
      <c r="C51" t="s">
        <v>126</v>
      </c>
      <c r="E51" s="5">
        <v>9</v>
      </c>
      <c r="F51" s="5">
        <v>118249.19</v>
      </c>
      <c r="G51" t="s">
        <v>126</v>
      </c>
    </row>
    <row r="52" spans="1:7">
      <c r="A52" t="s">
        <v>30</v>
      </c>
      <c r="B52" s="6">
        <v>46022</v>
      </c>
      <c r="C52" t="s">
        <v>145</v>
      </c>
      <c r="E52" s="5">
        <v>50000</v>
      </c>
      <c r="F52" s="5">
        <v>68249.19</v>
      </c>
      <c r="G52" t="s">
        <v>124</v>
      </c>
    </row>
    <row r="53" spans="1:7">
      <c r="A53" t="s">
        <v>30</v>
      </c>
      <c r="B53" s="6">
        <v>46022</v>
      </c>
      <c r="C53" t="s">
        <v>126</v>
      </c>
      <c r="E53" s="5">
        <v>9</v>
      </c>
      <c r="F53" s="5">
        <v>68240.19</v>
      </c>
      <c r="G53" t="s">
        <v>126</v>
      </c>
    </row>
    <row r="54" spans="1:7">
      <c r="A54" t="s">
        <v>30</v>
      </c>
      <c r="B54" s="6">
        <v>46027</v>
      </c>
      <c r="C54" t="s">
        <v>145</v>
      </c>
      <c r="E54" s="5">
        <v>50000</v>
      </c>
      <c r="F54" s="5">
        <v>18240.19</v>
      </c>
      <c r="G54" t="s">
        <v>124</v>
      </c>
    </row>
    <row r="55" spans="1:7">
      <c r="A55" t="s">
        <v>30</v>
      </c>
      <c r="B55" s="6">
        <v>46027</v>
      </c>
      <c r="C55" t="s">
        <v>126</v>
      </c>
      <c r="E55" s="5">
        <v>9</v>
      </c>
      <c r="F55" s="5">
        <v>18231.19</v>
      </c>
      <c r="G55" t="s">
        <v>126</v>
      </c>
    </row>
    <row r="56" spans="1:7">
      <c r="A56" t="s">
        <v>30</v>
      </c>
      <c r="B56" s="6">
        <v>46028</v>
      </c>
      <c r="C56" t="s">
        <v>145</v>
      </c>
      <c r="E56" s="5">
        <v>10000</v>
      </c>
      <c r="F56" s="5">
        <v>8231.190000000001</v>
      </c>
      <c r="G56" t="s">
        <v>124</v>
      </c>
    </row>
    <row r="57" spans="1:7">
      <c r="A57" t="s">
        <v>30</v>
      </c>
      <c r="B57" s="6">
        <v>46028</v>
      </c>
      <c r="C57" t="s">
        <v>126</v>
      </c>
      <c r="E57" s="5">
        <v>4.5</v>
      </c>
      <c r="F57" s="5">
        <v>8226.690000000001</v>
      </c>
      <c r="G57" t="s">
        <v>126</v>
      </c>
    </row>
    <row r="58" spans="1:7">
      <c r="A58" t="s">
        <v>30</v>
      </c>
      <c r="B58" s="6">
        <v>46056</v>
      </c>
      <c r="C58" t="s">
        <v>146</v>
      </c>
      <c r="D58" s="5">
        <v>720000</v>
      </c>
      <c r="F58" s="5">
        <v>728226.6899999999</v>
      </c>
      <c r="G58" t="s">
        <v>124</v>
      </c>
    </row>
    <row r="59" spans="1:7">
      <c r="A59" t="s">
        <v>30</v>
      </c>
      <c r="B59" s="6">
        <v>46056</v>
      </c>
      <c r="C59" t="s">
        <v>145</v>
      </c>
      <c r="E59" s="5">
        <v>50000</v>
      </c>
      <c r="F59" s="5">
        <v>678226.6899999999</v>
      </c>
      <c r="G59" t="s">
        <v>124</v>
      </c>
    </row>
    <row r="60" spans="1:7">
      <c r="A60" t="s">
        <v>30</v>
      </c>
      <c r="B60" s="6">
        <v>46056</v>
      </c>
      <c r="C60" t="s">
        <v>126</v>
      </c>
      <c r="E60" s="5">
        <v>9</v>
      </c>
      <c r="F60" s="5">
        <v>678217.6899999999</v>
      </c>
      <c r="G60" t="s">
        <v>126</v>
      </c>
    </row>
    <row r="61" spans="1:7">
      <c r="A61" t="s">
        <v>30</v>
      </c>
      <c r="B61" s="6">
        <v>46057</v>
      </c>
      <c r="C61" t="s">
        <v>145</v>
      </c>
      <c r="E61" s="5">
        <v>50000</v>
      </c>
      <c r="F61" s="5">
        <v>628217.6899999999</v>
      </c>
      <c r="G61" t="s">
        <v>124</v>
      </c>
    </row>
    <row r="62" spans="1:7">
      <c r="A62" t="s">
        <v>30</v>
      </c>
      <c r="B62" s="6">
        <v>46057</v>
      </c>
      <c r="C62" t="s">
        <v>126</v>
      </c>
      <c r="E62" s="5">
        <v>9</v>
      </c>
      <c r="F62" s="5">
        <v>628208.6899999999</v>
      </c>
      <c r="G62" t="s">
        <v>126</v>
      </c>
    </row>
    <row r="63" spans="1:7">
      <c r="A63" t="s">
        <v>30</v>
      </c>
      <c r="B63" s="6">
        <v>46058</v>
      </c>
      <c r="C63" t="s">
        <v>145</v>
      </c>
      <c r="E63" s="5">
        <v>50000</v>
      </c>
      <c r="F63" s="5">
        <v>578208.6899999999</v>
      </c>
      <c r="G63" t="s">
        <v>124</v>
      </c>
    </row>
    <row r="64" spans="1:7">
      <c r="A64" t="s">
        <v>30</v>
      </c>
      <c r="B64" s="6">
        <v>46058</v>
      </c>
      <c r="C64" t="s">
        <v>126</v>
      </c>
      <c r="E64" s="5">
        <v>9</v>
      </c>
      <c r="F64" s="5">
        <v>578199.6899999999</v>
      </c>
      <c r="G64" t="s">
        <v>126</v>
      </c>
    </row>
    <row r="65" spans="1:7">
      <c r="A65" t="s">
        <v>30</v>
      </c>
      <c r="B65" s="6">
        <v>46059</v>
      </c>
      <c r="C65" t="s">
        <v>145</v>
      </c>
      <c r="E65" s="5">
        <v>50000</v>
      </c>
      <c r="F65" s="5">
        <v>528199.6899999999</v>
      </c>
      <c r="G65" t="s">
        <v>124</v>
      </c>
    </row>
    <row r="66" spans="1:7">
      <c r="A66" t="s">
        <v>30</v>
      </c>
      <c r="B66" s="6">
        <v>46059</v>
      </c>
      <c r="C66" t="s">
        <v>126</v>
      </c>
      <c r="E66" s="5">
        <v>9</v>
      </c>
      <c r="F66" s="5">
        <v>528190.6899999999</v>
      </c>
      <c r="G66" t="s">
        <v>126</v>
      </c>
    </row>
    <row r="67" spans="1:7">
      <c r="A67" t="s">
        <v>30</v>
      </c>
      <c r="B67" s="6">
        <v>46060</v>
      </c>
      <c r="C67" t="s">
        <v>145</v>
      </c>
      <c r="E67" s="5">
        <v>50000</v>
      </c>
      <c r="F67" s="5">
        <v>478190.69</v>
      </c>
      <c r="G67" t="s">
        <v>124</v>
      </c>
    </row>
    <row r="68" spans="1:7">
      <c r="A68" t="s">
        <v>30</v>
      </c>
      <c r="B68" s="6">
        <v>46060</v>
      </c>
      <c r="C68" t="s">
        <v>126</v>
      </c>
      <c r="E68" s="5">
        <v>9</v>
      </c>
      <c r="F68" s="5">
        <v>478181.69</v>
      </c>
      <c r="G68" t="s">
        <v>126</v>
      </c>
    </row>
    <row r="69" spans="1:7">
      <c r="A69" t="s">
        <v>30</v>
      </c>
      <c r="B69" s="6">
        <v>46061</v>
      </c>
      <c r="C69" t="s">
        <v>145</v>
      </c>
      <c r="E69" s="5">
        <v>50000</v>
      </c>
      <c r="F69" s="5">
        <v>428181.69</v>
      </c>
      <c r="G69" t="s">
        <v>124</v>
      </c>
    </row>
    <row r="70" spans="1:7">
      <c r="A70" t="s">
        <v>30</v>
      </c>
      <c r="B70" s="6">
        <v>46061</v>
      </c>
      <c r="C70" t="s">
        <v>126</v>
      </c>
      <c r="E70" s="5">
        <v>9</v>
      </c>
      <c r="F70" s="5">
        <v>428172.69</v>
      </c>
      <c r="G70" t="s">
        <v>126</v>
      </c>
    </row>
    <row r="71" spans="1:7">
      <c r="A71" t="s">
        <v>30</v>
      </c>
      <c r="B71" s="6">
        <v>46062</v>
      </c>
      <c r="C71" t="s">
        <v>145</v>
      </c>
      <c r="E71" s="5">
        <v>50000</v>
      </c>
      <c r="F71" s="5">
        <v>378172.69</v>
      </c>
      <c r="G71" t="s">
        <v>124</v>
      </c>
    </row>
    <row r="72" spans="1:7">
      <c r="A72" t="s">
        <v>30</v>
      </c>
      <c r="B72" s="6">
        <v>46062</v>
      </c>
      <c r="C72" t="s">
        <v>126</v>
      </c>
      <c r="E72" s="5">
        <v>9</v>
      </c>
      <c r="F72" s="5">
        <v>378163.69</v>
      </c>
      <c r="G72" t="s">
        <v>126</v>
      </c>
    </row>
    <row r="73" spans="1:7">
      <c r="A73" t="s">
        <v>30</v>
      </c>
      <c r="B73" s="6">
        <v>46063</v>
      </c>
      <c r="C73" t="s">
        <v>145</v>
      </c>
      <c r="E73" s="5">
        <v>50000</v>
      </c>
      <c r="F73" s="5">
        <v>328163.69</v>
      </c>
      <c r="G73" t="s">
        <v>124</v>
      </c>
    </row>
    <row r="74" spans="1:7">
      <c r="A74" t="s">
        <v>30</v>
      </c>
      <c r="B74" s="6">
        <v>46063</v>
      </c>
      <c r="C74" t="s">
        <v>126</v>
      </c>
      <c r="E74" s="5">
        <v>9</v>
      </c>
      <c r="F74" s="5">
        <v>328154.69</v>
      </c>
      <c r="G74" t="s">
        <v>126</v>
      </c>
    </row>
    <row r="75" spans="1:7">
      <c r="A75" t="s">
        <v>30</v>
      </c>
      <c r="B75" s="6">
        <v>46064</v>
      </c>
      <c r="C75" t="s">
        <v>145</v>
      </c>
      <c r="E75" s="5">
        <v>50000</v>
      </c>
      <c r="F75" s="5">
        <v>278154.69</v>
      </c>
      <c r="G75" t="s">
        <v>124</v>
      </c>
    </row>
    <row r="76" spans="1:7">
      <c r="A76" t="s">
        <v>30</v>
      </c>
      <c r="B76" s="6">
        <v>46064</v>
      </c>
      <c r="C76" t="s">
        <v>126</v>
      </c>
      <c r="E76" s="5">
        <v>9</v>
      </c>
      <c r="F76" s="5">
        <v>278145.69</v>
      </c>
      <c r="G76" t="s">
        <v>126</v>
      </c>
    </row>
    <row r="77" spans="1:7">
      <c r="A77" t="s">
        <v>30</v>
      </c>
      <c r="B77" s="6">
        <v>46065</v>
      </c>
      <c r="C77" t="s">
        <v>145</v>
      </c>
      <c r="E77" s="5">
        <v>50000</v>
      </c>
      <c r="F77" s="5">
        <v>228145.69</v>
      </c>
      <c r="G77" t="s">
        <v>124</v>
      </c>
    </row>
    <row r="78" spans="1:7">
      <c r="A78" t="s">
        <v>30</v>
      </c>
      <c r="B78" s="6">
        <v>46065</v>
      </c>
      <c r="C78" t="s">
        <v>126</v>
      </c>
      <c r="E78" s="5">
        <v>9</v>
      </c>
      <c r="F78" s="5">
        <v>228136.69</v>
      </c>
      <c r="G78" t="s">
        <v>126</v>
      </c>
    </row>
    <row r="79" spans="1:7">
      <c r="A79" t="s">
        <v>30</v>
      </c>
      <c r="B79" s="6">
        <v>46066</v>
      </c>
      <c r="C79" t="s">
        <v>145</v>
      </c>
      <c r="E79" s="5">
        <v>50000</v>
      </c>
      <c r="F79" s="5">
        <v>178136.69</v>
      </c>
      <c r="G79" t="s">
        <v>124</v>
      </c>
    </row>
    <row r="80" spans="1:7">
      <c r="A80" t="s">
        <v>30</v>
      </c>
      <c r="B80" s="6">
        <v>46066</v>
      </c>
      <c r="C80" t="s">
        <v>126</v>
      </c>
      <c r="E80" s="5">
        <v>9</v>
      </c>
      <c r="F80" s="5">
        <v>178127.69</v>
      </c>
      <c r="G80" t="s">
        <v>126</v>
      </c>
    </row>
    <row r="81" spans="1:7">
      <c r="A81" t="s">
        <v>30</v>
      </c>
      <c r="B81" s="6">
        <v>46067</v>
      </c>
      <c r="C81" t="s">
        <v>145</v>
      </c>
      <c r="E81" s="5">
        <v>50000</v>
      </c>
      <c r="F81" s="5">
        <v>128127.69</v>
      </c>
      <c r="G81" t="s">
        <v>124</v>
      </c>
    </row>
    <row r="82" spans="1:7">
      <c r="A82" t="s">
        <v>30</v>
      </c>
      <c r="B82" s="6">
        <v>46067</v>
      </c>
      <c r="C82" t="s">
        <v>126</v>
      </c>
      <c r="E82" s="5">
        <v>9</v>
      </c>
      <c r="F82" s="5">
        <v>128118.69</v>
      </c>
      <c r="G82" t="s">
        <v>126</v>
      </c>
    </row>
    <row r="83" spans="1:7">
      <c r="A83" t="s">
        <v>30</v>
      </c>
      <c r="B83" s="6">
        <v>46071</v>
      </c>
      <c r="C83" t="s">
        <v>145</v>
      </c>
      <c r="E83" s="5">
        <v>50000</v>
      </c>
      <c r="F83" s="5">
        <v>78118.6899999999</v>
      </c>
      <c r="G83" t="s">
        <v>124</v>
      </c>
    </row>
    <row r="84" spans="1:7">
      <c r="A84" t="s">
        <v>30</v>
      </c>
      <c r="B84" s="6">
        <v>46071</v>
      </c>
      <c r="C84" t="s">
        <v>126</v>
      </c>
      <c r="E84" s="5">
        <v>9</v>
      </c>
      <c r="F84" s="5">
        <v>78109.6899999999</v>
      </c>
      <c r="G84" t="s">
        <v>126</v>
      </c>
    </row>
    <row r="85" spans="1:7">
      <c r="A85" t="s">
        <v>30</v>
      </c>
      <c r="B85" s="6">
        <v>46072</v>
      </c>
      <c r="C85" t="s">
        <v>145</v>
      </c>
      <c r="E85" s="5">
        <v>50000</v>
      </c>
      <c r="F85" s="5">
        <v>28109.6899999999</v>
      </c>
      <c r="G85" t="s">
        <v>124</v>
      </c>
    </row>
    <row r="86" spans="1:7">
      <c r="A86" t="s">
        <v>30</v>
      </c>
      <c r="B86" s="6">
        <v>46072</v>
      </c>
      <c r="C86" t="s">
        <v>126</v>
      </c>
      <c r="E86" s="5">
        <v>9</v>
      </c>
      <c r="F86" s="5">
        <v>28100.6899999999</v>
      </c>
      <c r="G86" t="s">
        <v>126</v>
      </c>
    </row>
    <row r="87" spans="1:7">
      <c r="A87" t="s">
        <v>30</v>
      </c>
      <c r="B87" s="6">
        <v>46073</v>
      </c>
      <c r="C87" t="s">
        <v>145</v>
      </c>
      <c r="E87" s="5">
        <v>20000</v>
      </c>
      <c r="F87" s="5">
        <v>8100.68999999994</v>
      </c>
      <c r="G87" t="s">
        <v>124</v>
      </c>
    </row>
    <row r="88" spans="1:7">
      <c r="A88" t="s">
        <v>30</v>
      </c>
      <c r="B88" s="6">
        <v>46073</v>
      </c>
      <c r="C88" t="s">
        <v>126</v>
      </c>
      <c r="E88" s="5">
        <v>9</v>
      </c>
      <c r="F88" s="5">
        <v>8091.68999999994</v>
      </c>
      <c r="G88" t="s">
        <v>126</v>
      </c>
    </row>
    <row r="89" spans="1:7">
      <c r="A89" t="s">
        <v>30</v>
      </c>
      <c r="B89" s="6">
        <v>46087</v>
      </c>
      <c r="C89" t="s">
        <v>147</v>
      </c>
      <c r="E89" s="5">
        <v>10</v>
      </c>
      <c r="F89" s="5">
        <v>8081.68999999994</v>
      </c>
      <c r="G89" t="s">
        <v>126</v>
      </c>
    </row>
    <row r="90" spans="1:7">
      <c r="A90" t="s">
        <v>30</v>
      </c>
      <c r="B90" s="6">
        <v>46099</v>
      </c>
      <c r="C90" t="s">
        <v>148</v>
      </c>
      <c r="E90" s="5">
        <v>300</v>
      </c>
      <c r="F90" s="5">
        <v>7781.68999999994</v>
      </c>
      <c r="G90" t="s">
        <v>126</v>
      </c>
    </row>
    <row r="91" spans="1:7">
      <c r="A91" t="s">
        <v>30</v>
      </c>
      <c r="B91" s="6">
        <v>46101</v>
      </c>
      <c r="C91" t="s">
        <v>125</v>
      </c>
      <c r="D91" s="5">
        <v>8.81</v>
      </c>
      <c r="F91" s="5">
        <v>7790.49999999994</v>
      </c>
      <c r="G91" t="s">
        <v>126</v>
      </c>
    </row>
    <row r="92" spans="1:7">
      <c r="A92" t="s">
        <v>30</v>
      </c>
      <c r="B92" s="6">
        <v>46107</v>
      </c>
      <c r="C92" t="s">
        <v>148</v>
      </c>
      <c r="E92" s="5">
        <v>400</v>
      </c>
      <c r="F92" s="5">
        <v>7390.49999999994</v>
      </c>
      <c r="G92" t="s">
        <v>126</v>
      </c>
    </row>
    <row r="93" spans="1:7">
      <c r="A93" t="s">
        <v>30</v>
      </c>
      <c r="B93" s="6">
        <v>46118</v>
      </c>
      <c r="C93" t="s">
        <v>147</v>
      </c>
      <c r="E93" s="5">
        <v>10</v>
      </c>
      <c r="F93" s="5">
        <v>7380.49999999994</v>
      </c>
      <c r="G93" t="s">
        <v>126</v>
      </c>
    </row>
    <row r="94" spans="1:7">
      <c r="A94" t="s">
        <v>30</v>
      </c>
      <c r="B94" s="6">
        <v>46148</v>
      </c>
      <c r="C94" t="s">
        <v>147</v>
      </c>
      <c r="E94" s="5">
        <v>10</v>
      </c>
      <c r="F94" s="5">
        <v>7370.49999999994</v>
      </c>
      <c r="G94" t="s">
        <v>126</v>
      </c>
    </row>
    <row r="95" spans="1:7">
      <c r="A95" t="s">
        <v>31</v>
      </c>
      <c r="B95" s="6">
        <v>45726</v>
      </c>
      <c r="C95" t="s">
        <v>149</v>
      </c>
      <c r="D95" s="5">
        <v>10000</v>
      </c>
      <c r="F95" s="5">
        <v>10000</v>
      </c>
    </row>
    <row r="96" spans="1:7">
      <c r="A96" t="s">
        <v>31</v>
      </c>
      <c r="B96" s="6">
        <v>45727</v>
      </c>
      <c r="C96" t="s">
        <v>150</v>
      </c>
      <c r="E96" s="5">
        <v>50</v>
      </c>
      <c r="F96" s="5">
        <v>9950</v>
      </c>
      <c r="G96" t="s">
        <v>126</v>
      </c>
    </row>
    <row r="97" spans="1:7">
      <c r="A97" t="s">
        <v>31</v>
      </c>
      <c r="B97" s="6">
        <v>45727</v>
      </c>
      <c r="C97" t="s">
        <v>150</v>
      </c>
      <c r="E97" s="5">
        <v>10</v>
      </c>
      <c r="F97" s="5">
        <v>9940</v>
      </c>
      <c r="G97" t="s">
        <v>126</v>
      </c>
    </row>
    <row r="98" spans="1:7">
      <c r="A98" t="s">
        <v>31</v>
      </c>
      <c r="B98" s="6">
        <v>45727</v>
      </c>
      <c r="C98" t="s">
        <v>150</v>
      </c>
      <c r="E98" s="5">
        <v>20</v>
      </c>
      <c r="F98" s="5">
        <v>9920</v>
      </c>
      <c r="G98" t="s">
        <v>126</v>
      </c>
    </row>
    <row r="99" spans="1:7">
      <c r="A99" t="s">
        <v>31</v>
      </c>
      <c r="B99" s="6">
        <v>45727</v>
      </c>
      <c r="C99" t="s">
        <v>150</v>
      </c>
      <c r="E99" s="5">
        <v>200</v>
      </c>
      <c r="F99" s="5">
        <v>9720</v>
      </c>
      <c r="G99" t="s">
        <v>126</v>
      </c>
    </row>
    <row r="100" spans="1:7">
      <c r="A100" t="s">
        <v>31</v>
      </c>
      <c r="B100" s="6">
        <v>45727</v>
      </c>
      <c r="C100" t="s">
        <v>150</v>
      </c>
      <c r="E100" s="5">
        <v>17</v>
      </c>
      <c r="F100" s="5">
        <v>9703</v>
      </c>
      <c r="G100" t="s">
        <v>126</v>
      </c>
    </row>
    <row r="101" spans="1:7">
      <c r="A101" t="s">
        <v>31</v>
      </c>
      <c r="B101" s="6">
        <v>45727</v>
      </c>
      <c r="C101" t="s">
        <v>150</v>
      </c>
      <c r="E101" s="5">
        <v>1</v>
      </c>
      <c r="F101" s="5">
        <v>9702</v>
      </c>
      <c r="G101" t="s">
        <v>126</v>
      </c>
    </row>
    <row r="102" spans="1:7">
      <c r="A102" t="s">
        <v>31</v>
      </c>
      <c r="B102" s="6">
        <v>45737</v>
      </c>
      <c r="C102" t="s">
        <v>151</v>
      </c>
      <c r="D102" s="5">
        <v>0.3</v>
      </c>
      <c r="F102" s="5">
        <v>9702.299999999999</v>
      </c>
      <c r="G102" t="s">
        <v>126</v>
      </c>
    </row>
    <row r="103" spans="1:7">
      <c r="A103" t="s">
        <v>31</v>
      </c>
      <c r="B103" s="6">
        <v>45829</v>
      </c>
      <c r="C103" t="s">
        <v>151</v>
      </c>
      <c r="D103" s="5">
        <v>2.05</v>
      </c>
      <c r="F103" s="5">
        <v>9704.35</v>
      </c>
      <c r="G103" t="s">
        <v>126</v>
      </c>
    </row>
    <row r="104" spans="1:7">
      <c r="A104" t="s">
        <v>31</v>
      </c>
      <c r="B104" s="6">
        <v>45918</v>
      </c>
      <c r="C104" t="s">
        <v>149</v>
      </c>
      <c r="D104" s="5">
        <v>70000</v>
      </c>
      <c r="F104" s="5">
        <v>79704.35000000001</v>
      </c>
      <c r="G104" t="s">
        <v>124</v>
      </c>
    </row>
    <row r="105" spans="1:7">
      <c r="A105" t="s">
        <v>31</v>
      </c>
      <c r="B105" s="6">
        <v>45918</v>
      </c>
      <c r="C105" t="s">
        <v>152</v>
      </c>
      <c r="E105" s="5">
        <v>50000</v>
      </c>
      <c r="F105" s="5">
        <v>29704.35</v>
      </c>
      <c r="G105" t="s">
        <v>124</v>
      </c>
    </row>
    <row r="106" spans="1:7">
      <c r="A106" t="s">
        <v>31</v>
      </c>
      <c r="B106" s="6">
        <v>45919</v>
      </c>
      <c r="C106" t="s">
        <v>152</v>
      </c>
      <c r="E106" s="5">
        <v>20000</v>
      </c>
      <c r="F106" s="5">
        <v>9704.350000000009</v>
      </c>
      <c r="G106" t="s">
        <v>124</v>
      </c>
    </row>
    <row r="107" spans="1:7">
      <c r="A107" t="s">
        <v>31</v>
      </c>
      <c r="B107" s="6">
        <v>45921</v>
      </c>
      <c r="C107" t="s">
        <v>151</v>
      </c>
      <c r="D107" s="5">
        <v>1.27</v>
      </c>
      <c r="F107" s="5">
        <v>9705.62000000001</v>
      </c>
      <c r="G107" t="s">
        <v>126</v>
      </c>
    </row>
    <row r="108" spans="1:7">
      <c r="A108" t="s">
        <v>31</v>
      </c>
      <c r="B108" s="6">
        <v>45944</v>
      </c>
      <c r="C108" t="s">
        <v>149</v>
      </c>
      <c r="D108" s="5">
        <v>80000</v>
      </c>
      <c r="F108" s="5">
        <v>89705.62</v>
      </c>
      <c r="G108" t="s">
        <v>124</v>
      </c>
    </row>
    <row r="109" spans="1:7">
      <c r="A109" t="s">
        <v>31</v>
      </c>
      <c r="B109" s="6">
        <v>45944</v>
      </c>
      <c r="C109" t="s">
        <v>152</v>
      </c>
      <c r="E109" s="5">
        <v>50000</v>
      </c>
      <c r="F109" s="5">
        <v>39705.62</v>
      </c>
      <c r="G109" t="s">
        <v>124</v>
      </c>
    </row>
    <row r="110" spans="1:7">
      <c r="A110" t="s">
        <v>31</v>
      </c>
      <c r="B110" s="6">
        <v>45946</v>
      </c>
      <c r="C110" t="s">
        <v>152</v>
      </c>
      <c r="E110" s="5">
        <v>30000</v>
      </c>
      <c r="F110" s="5">
        <v>9705.62000000001</v>
      </c>
      <c r="G110" t="s">
        <v>124</v>
      </c>
    </row>
    <row r="111" spans="1:7">
      <c r="A111" t="s">
        <v>31</v>
      </c>
      <c r="B111" s="6">
        <v>45971</v>
      </c>
      <c r="C111" t="s">
        <v>149</v>
      </c>
      <c r="D111" s="5">
        <v>80000</v>
      </c>
      <c r="F111" s="5">
        <v>89705.62</v>
      </c>
      <c r="G111" t="s">
        <v>124</v>
      </c>
    </row>
    <row r="112" spans="1:7">
      <c r="A112" t="s">
        <v>31</v>
      </c>
      <c r="B112" s="6">
        <v>45971</v>
      </c>
      <c r="C112" t="s">
        <v>152</v>
      </c>
      <c r="E112" s="5">
        <v>50000</v>
      </c>
      <c r="F112" s="5">
        <v>39705.62</v>
      </c>
      <c r="G112" t="s">
        <v>124</v>
      </c>
    </row>
    <row r="113" spans="1:7">
      <c r="A113" t="s">
        <v>31</v>
      </c>
      <c r="B113" s="6">
        <v>45972</v>
      </c>
      <c r="C113" t="s">
        <v>152</v>
      </c>
      <c r="E113" s="5">
        <v>30000</v>
      </c>
      <c r="F113" s="5">
        <v>9705.62000000001</v>
      </c>
      <c r="G113" t="s">
        <v>124</v>
      </c>
    </row>
    <row r="114" spans="1:7">
      <c r="A114" t="s">
        <v>31</v>
      </c>
      <c r="B114" s="6">
        <v>45994</v>
      </c>
      <c r="C114" t="s">
        <v>149</v>
      </c>
      <c r="D114" s="5">
        <v>80000</v>
      </c>
      <c r="F114" s="5">
        <v>89705.62</v>
      </c>
      <c r="G114" t="s">
        <v>124</v>
      </c>
    </row>
    <row r="115" spans="1:7">
      <c r="A115" t="s">
        <v>31</v>
      </c>
      <c r="B115" s="6">
        <v>45995</v>
      </c>
      <c r="C115" t="s">
        <v>152</v>
      </c>
      <c r="E115" s="5">
        <v>50000</v>
      </c>
      <c r="F115" s="5">
        <v>39705.62</v>
      </c>
      <c r="G115" t="s">
        <v>124</v>
      </c>
    </row>
    <row r="116" spans="1:7">
      <c r="A116" t="s">
        <v>31</v>
      </c>
      <c r="B116" s="6">
        <v>45996</v>
      </c>
      <c r="C116" t="s">
        <v>152</v>
      </c>
      <c r="E116" s="5">
        <v>30000</v>
      </c>
      <c r="F116" s="5">
        <v>9705.62000000001</v>
      </c>
      <c r="G116" t="s">
        <v>124</v>
      </c>
    </row>
    <row r="117" spans="1:7">
      <c r="A117" t="s">
        <v>31</v>
      </c>
      <c r="B117" s="6">
        <v>46012</v>
      </c>
      <c r="C117" t="s">
        <v>151</v>
      </c>
      <c r="D117" s="5">
        <v>1.5</v>
      </c>
      <c r="F117" s="5">
        <v>9707.12000000001</v>
      </c>
      <c r="G117" t="s">
        <v>126</v>
      </c>
    </row>
    <row r="118" spans="1:7">
      <c r="A118" t="s">
        <v>31</v>
      </c>
      <c r="B118" s="6">
        <v>46021</v>
      </c>
      <c r="C118" t="s">
        <v>149</v>
      </c>
      <c r="D118" s="5">
        <v>160000</v>
      </c>
      <c r="F118" s="5">
        <v>169707.12</v>
      </c>
      <c r="G118" t="s">
        <v>124</v>
      </c>
    </row>
    <row r="119" spans="1:7">
      <c r="A119" t="s">
        <v>31</v>
      </c>
      <c r="B119" s="6">
        <v>46021</v>
      </c>
      <c r="C119" t="s">
        <v>152</v>
      </c>
      <c r="E119" s="5">
        <v>50000</v>
      </c>
      <c r="F119" s="5">
        <v>119707.12</v>
      </c>
      <c r="G119" t="s">
        <v>124</v>
      </c>
    </row>
    <row r="120" spans="1:7">
      <c r="A120" t="s">
        <v>31</v>
      </c>
      <c r="B120" s="6">
        <v>46022</v>
      </c>
      <c r="C120" t="s">
        <v>152</v>
      </c>
      <c r="E120" s="5">
        <v>50000</v>
      </c>
      <c r="F120" s="5">
        <v>69707.12</v>
      </c>
      <c r="G120" t="s">
        <v>124</v>
      </c>
    </row>
    <row r="121" spans="1:7">
      <c r="A121" t="s">
        <v>31</v>
      </c>
      <c r="B121" s="6">
        <v>46027</v>
      </c>
      <c r="C121" t="s">
        <v>152</v>
      </c>
      <c r="E121" s="5">
        <v>50000</v>
      </c>
      <c r="F121" s="5">
        <v>19707.12</v>
      </c>
      <c r="G121" t="s">
        <v>124</v>
      </c>
    </row>
    <row r="122" spans="1:7">
      <c r="A122" t="s">
        <v>31</v>
      </c>
      <c r="B122" s="6">
        <v>46028</v>
      </c>
      <c r="C122" t="s">
        <v>152</v>
      </c>
      <c r="E122" s="5">
        <v>10000</v>
      </c>
      <c r="F122" s="5">
        <v>9707.120000000001</v>
      </c>
      <c r="G122" t="s">
        <v>124</v>
      </c>
    </row>
    <row r="123" spans="1:7">
      <c r="A123" t="s">
        <v>31</v>
      </c>
      <c r="B123" s="6">
        <v>46057</v>
      </c>
      <c r="C123" t="s">
        <v>153</v>
      </c>
      <c r="D123" s="5">
        <v>70000</v>
      </c>
      <c r="F123" s="5">
        <v>79707.12</v>
      </c>
      <c r="G123" t="s">
        <v>124</v>
      </c>
    </row>
    <row r="124" spans="1:7">
      <c r="A124" t="s">
        <v>31</v>
      </c>
      <c r="B124" s="6">
        <v>46057</v>
      </c>
      <c r="C124" t="s">
        <v>154</v>
      </c>
      <c r="E124" s="5">
        <v>100</v>
      </c>
      <c r="F124" s="5">
        <v>79607.12</v>
      </c>
      <c r="G124" t="s">
        <v>126</v>
      </c>
    </row>
    <row r="125" spans="1:7">
      <c r="A125" t="s">
        <v>31</v>
      </c>
      <c r="B125" s="6">
        <v>46057</v>
      </c>
      <c r="C125" t="s">
        <v>152</v>
      </c>
      <c r="E125" s="5">
        <v>50000</v>
      </c>
      <c r="F125" s="5">
        <v>29607.12</v>
      </c>
      <c r="G125" t="s">
        <v>124</v>
      </c>
    </row>
    <row r="126" spans="1:7">
      <c r="A126" t="s">
        <v>31</v>
      </c>
      <c r="B126" s="6">
        <v>46058</v>
      </c>
      <c r="C126" t="s">
        <v>152</v>
      </c>
      <c r="E126" s="5">
        <v>20000</v>
      </c>
      <c r="F126" s="5">
        <v>9607.120000000001</v>
      </c>
      <c r="G126" t="s">
        <v>124</v>
      </c>
    </row>
    <row r="127" spans="1:7">
      <c r="A127" t="s">
        <v>31</v>
      </c>
      <c r="B127" s="6">
        <v>46077</v>
      </c>
      <c r="C127" t="s">
        <v>155</v>
      </c>
      <c r="E127" s="5">
        <v>360</v>
      </c>
      <c r="F127" s="5">
        <v>9247.120000000001</v>
      </c>
      <c r="G127" t="s">
        <v>126</v>
      </c>
    </row>
    <row r="128" spans="1:7">
      <c r="A128" t="s">
        <v>31</v>
      </c>
      <c r="B128" s="6">
        <v>46102</v>
      </c>
      <c r="C128" t="s">
        <v>151</v>
      </c>
      <c r="D128" s="5">
        <v>1.81</v>
      </c>
      <c r="F128" s="5">
        <v>9248.929999999989</v>
      </c>
      <c r="G128" t="s">
        <v>126</v>
      </c>
    </row>
    <row r="129" spans="1:8">
      <c r="A129" t="s">
        <v>31</v>
      </c>
      <c r="B129" s="6">
        <v>46106</v>
      </c>
      <c r="C129" t="s">
        <v>156</v>
      </c>
      <c r="E129" s="5">
        <v>100</v>
      </c>
      <c r="F129" s="5">
        <v>9148.929999999989</v>
      </c>
      <c r="G129" t="s">
        <v>126</v>
      </c>
    </row>
    <row r="130" spans="1:8">
      <c r="A130" t="s">
        <v>31</v>
      </c>
      <c r="B130" s="6">
        <v>46107</v>
      </c>
      <c r="C130" t="s">
        <v>157</v>
      </c>
      <c r="E130" s="5">
        <v>360</v>
      </c>
      <c r="F130" s="5">
        <v>8788.929999999989</v>
      </c>
      <c r="G130" t="s">
        <v>126</v>
      </c>
    </row>
    <row r="131" spans="1:8">
      <c r="A131" t="s">
        <v>31</v>
      </c>
      <c r="B131" s="6">
        <v>46119</v>
      </c>
      <c r="C131" t="s">
        <v>149</v>
      </c>
      <c r="D131" s="5">
        <v>400000</v>
      </c>
      <c r="F131" s="5">
        <v>408788.93</v>
      </c>
      <c r="G131" t="s">
        <v>124</v>
      </c>
    </row>
    <row r="132" spans="1:8">
      <c r="A132" t="s">
        <v>31</v>
      </c>
      <c r="B132" s="6">
        <v>46119</v>
      </c>
      <c r="C132" t="s">
        <v>152</v>
      </c>
      <c r="E132" s="5">
        <v>50000</v>
      </c>
      <c r="F132" s="5">
        <v>358788.93</v>
      </c>
      <c r="G132" t="s">
        <v>124</v>
      </c>
    </row>
    <row r="133" spans="1:8">
      <c r="A133" t="s">
        <v>31</v>
      </c>
      <c r="B133" s="6">
        <v>46120</v>
      </c>
      <c r="C133" t="s">
        <v>152</v>
      </c>
      <c r="E133" s="5">
        <v>50000</v>
      </c>
      <c r="F133" s="5">
        <v>308788.93</v>
      </c>
      <c r="G133" t="s">
        <v>124</v>
      </c>
    </row>
    <row r="134" spans="1:8">
      <c r="A134" t="s">
        <v>31</v>
      </c>
      <c r="B134" s="6">
        <v>46121</v>
      </c>
      <c r="C134" t="s">
        <v>152</v>
      </c>
      <c r="E134" s="5">
        <v>50000</v>
      </c>
      <c r="F134" s="5">
        <v>258788.93</v>
      </c>
      <c r="G134" t="s">
        <v>124</v>
      </c>
    </row>
    <row r="135" spans="1:8">
      <c r="A135" t="s">
        <v>31</v>
      </c>
      <c r="B135" s="6">
        <v>46122</v>
      </c>
      <c r="C135" t="s">
        <v>152</v>
      </c>
      <c r="E135" s="5">
        <v>50000</v>
      </c>
      <c r="F135" s="5">
        <v>208788.93</v>
      </c>
      <c r="G135" t="s">
        <v>124</v>
      </c>
    </row>
    <row r="136" spans="1:8">
      <c r="A136" t="s">
        <v>31</v>
      </c>
      <c r="B136" s="6">
        <v>46123</v>
      </c>
      <c r="C136" t="s">
        <v>152</v>
      </c>
      <c r="E136" s="5">
        <v>50000</v>
      </c>
      <c r="F136" s="5">
        <v>158788.93</v>
      </c>
      <c r="G136" t="s">
        <v>124</v>
      </c>
    </row>
    <row r="137" spans="1:8">
      <c r="A137" t="s">
        <v>31</v>
      </c>
      <c r="B137" s="6">
        <v>46124</v>
      </c>
      <c r="C137" t="s">
        <v>152</v>
      </c>
      <c r="E137" s="5">
        <v>50000</v>
      </c>
      <c r="F137" s="5">
        <v>108788.93</v>
      </c>
      <c r="G137" t="s">
        <v>124</v>
      </c>
    </row>
    <row r="138" spans="1:8">
      <c r="A138" t="s">
        <v>31</v>
      </c>
      <c r="B138" s="6">
        <v>46125</v>
      </c>
      <c r="C138" t="s">
        <v>152</v>
      </c>
      <c r="E138" s="5">
        <v>50000</v>
      </c>
      <c r="F138" s="5">
        <v>58788.93</v>
      </c>
      <c r="G138" t="s">
        <v>124</v>
      </c>
    </row>
    <row r="139" spans="1:8">
      <c r="A139" t="s">
        <v>31</v>
      </c>
      <c r="B139" s="6">
        <v>46126</v>
      </c>
      <c r="C139" t="s">
        <v>152</v>
      </c>
      <c r="E139" s="5">
        <v>50000</v>
      </c>
      <c r="F139" s="5">
        <v>8788.929999999989</v>
      </c>
      <c r="G139" t="s">
        <v>124</v>
      </c>
    </row>
    <row r="140" spans="1:8">
      <c r="A140" t="s">
        <v>29</v>
      </c>
      <c r="C140" t="s">
        <v>158</v>
      </c>
      <c r="D140" s="5">
        <v>100000</v>
      </c>
      <c r="F140" s="5">
        <v>100000</v>
      </c>
    </row>
    <row r="141" spans="1:8">
      <c r="A141" t="s">
        <v>29</v>
      </c>
      <c r="B141" s="6">
        <v>45653</v>
      </c>
      <c r="C141" t="s">
        <v>159</v>
      </c>
      <c r="E141" s="5">
        <v>19000</v>
      </c>
      <c r="F141" s="5">
        <v>81000</v>
      </c>
      <c r="H141" t="s">
        <v>160</v>
      </c>
    </row>
    <row r="142" spans="1:8">
      <c r="A142" t="s">
        <v>29</v>
      </c>
      <c r="B142" s="6">
        <v>45659</v>
      </c>
      <c r="C142" t="s">
        <v>161</v>
      </c>
      <c r="E142" s="5">
        <v>3653.9325</v>
      </c>
      <c r="F142" s="5">
        <v>77346.0675</v>
      </c>
    </row>
    <row r="143" spans="1:8">
      <c r="A143" t="s">
        <v>29</v>
      </c>
      <c r="B143" s="6">
        <v>45659</v>
      </c>
      <c r="C143" t="s">
        <v>162</v>
      </c>
      <c r="E143" s="5">
        <v>8250</v>
      </c>
      <c r="F143" s="5">
        <v>69096.0675</v>
      </c>
    </row>
    <row r="144" spans="1:8">
      <c r="A144" t="s">
        <v>29</v>
      </c>
      <c r="B144" s="6">
        <v>45720</v>
      </c>
      <c r="C144" t="s">
        <v>163</v>
      </c>
      <c r="E144" s="5">
        <v>19000</v>
      </c>
      <c r="F144" s="5">
        <v>50096.0675</v>
      </c>
    </row>
    <row r="145" spans="1:6">
      <c r="A145" t="s">
        <v>29</v>
      </c>
      <c r="B145" s="6">
        <v>45742</v>
      </c>
      <c r="C145" t="s">
        <v>164</v>
      </c>
      <c r="D145" s="5">
        <v>80000</v>
      </c>
      <c r="F145" s="5">
        <v>130096.0675</v>
      </c>
    </row>
    <row r="146" spans="1:6">
      <c r="A146" t="s">
        <v>29</v>
      </c>
      <c r="B146" s="6">
        <v>45803</v>
      </c>
      <c r="C146" t="s">
        <v>165</v>
      </c>
      <c r="E146" s="5">
        <v>2195.97</v>
      </c>
      <c r="F146" s="5">
        <v>127900.0975</v>
      </c>
    </row>
    <row r="147" spans="1:6">
      <c r="A147" t="s">
        <v>29</v>
      </c>
      <c r="B147" s="6">
        <v>45887</v>
      </c>
      <c r="C147" t="s">
        <v>166</v>
      </c>
      <c r="E147" s="5">
        <v>4350</v>
      </c>
      <c r="F147" s="5">
        <v>123550.0975</v>
      </c>
    </row>
    <row r="148" spans="1:6">
      <c r="A148" t="s">
        <v>29</v>
      </c>
      <c r="B148" s="6">
        <v>45928</v>
      </c>
      <c r="C148" t="s">
        <v>167</v>
      </c>
      <c r="E148" s="5">
        <v>2848.29</v>
      </c>
      <c r="F148" s="5">
        <v>120701.8075</v>
      </c>
    </row>
    <row r="149" spans="1:6">
      <c r="A149" t="s">
        <v>29</v>
      </c>
      <c r="B149" s="6">
        <v>46054</v>
      </c>
      <c r="C149" t="s">
        <v>168</v>
      </c>
      <c r="D149" s="5">
        <v>24000</v>
      </c>
      <c r="F149" s="5">
        <v>144701.8075</v>
      </c>
    </row>
    <row r="150" spans="1:6">
      <c r="A150" t="s">
        <v>29</v>
      </c>
      <c r="B150" s="6">
        <v>46091</v>
      </c>
      <c r="C150" t="s">
        <v>169</v>
      </c>
      <c r="D150" s="5">
        <v>56000</v>
      </c>
      <c r="F150" s="5">
        <v>200701.8075</v>
      </c>
    </row>
    <row r="151" spans="1:6">
      <c r="A151" t="s">
        <v>29</v>
      </c>
      <c r="C151" t="s">
        <v>170</v>
      </c>
      <c r="E151" s="5">
        <v>545.8914</v>
      </c>
      <c r="F151" s="5">
        <v>200155.9161</v>
      </c>
    </row>
    <row r="152" spans="1:6">
      <c r="A152" t="s">
        <v>29</v>
      </c>
      <c r="C152" t="s">
        <v>171</v>
      </c>
      <c r="E152" s="5">
        <v>200000</v>
      </c>
      <c r="F152" s="5">
        <v>155.916100000002</v>
      </c>
    </row>
    <row r="153" spans="1:6">
      <c r="A153" t="s">
        <v>29</v>
      </c>
      <c r="C153" t="s">
        <v>33</v>
      </c>
      <c r="D153" s="5">
        <v>545.8914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6.7109375" customWidth="1"/>
    <col min="2" max="2" width="24.7109375" customWidth="1"/>
    <col min="3" max="7" width="14.7109375" style="5" customWidth="1"/>
  </cols>
  <sheetData>
    <row r="1" spans="1:7">
      <c r="A1" t="s">
        <v>19</v>
      </c>
      <c r="B1" t="s">
        <v>172</v>
      </c>
      <c r="C1" s="5" t="s">
        <v>173</v>
      </c>
      <c r="D1" s="5" t="s">
        <v>174</v>
      </c>
      <c r="E1" s="5" t="s">
        <v>175</v>
      </c>
      <c r="F1" s="5" t="s">
        <v>176</v>
      </c>
      <c r="G1" s="5" t="s">
        <v>177</v>
      </c>
    </row>
    <row r="2" spans="1:7">
      <c r="A2" t="s">
        <v>20</v>
      </c>
      <c r="B2" t="s">
        <v>178</v>
      </c>
      <c r="C2" s="5">
        <v>320506.77</v>
      </c>
      <c r="D2" s="5">
        <v>66123.75</v>
      </c>
      <c r="E2" s="5">
        <v>386630.52</v>
      </c>
      <c r="F2" s="5">
        <v>222718.99</v>
      </c>
      <c r="G2" s="5">
        <v>163911.53</v>
      </c>
    </row>
    <row r="3" spans="1:7">
      <c r="A3" t="s">
        <v>21</v>
      </c>
      <c r="B3" t="s">
        <v>179</v>
      </c>
      <c r="C3" s="5">
        <v>193588.455</v>
      </c>
      <c r="D3" s="5">
        <v>955.02</v>
      </c>
      <c r="E3" s="5">
        <v>194543.475</v>
      </c>
      <c r="F3" s="5">
        <v>57860</v>
      </c>
      <c r="G3" s="5">
        <v>136683.475</v>
      </c>
    </row>
    <row r="4" spans="1:7">
      <c r="A4" t="s">
        <v>22</v>
      </c>
      <c r="B4" t="s">
        <v>180</v>
      </c>
      <c r="C4" s="5">
        <v>2628346.995</v>
      </c>
      <c r="D4" s="5">
        <v>10460.22</v>
      </c>
      <c r="E4" s="5">
        <v>2638807.215</v>
      </c>
      <c r="F4" s="5">
        <v>1223049.81</v>
      </c>
      <c r="G4" s="5">
        <v>1415757.405</v>
      </c>
    </row>
    <row r="5" spans="1:7">
      <c r="A5" t="s">
        <v>24</v>
      </c>
      <c r="B5" t="s">
        <v>24</v>
      </c>
      <c r="C5" s="5">
        <v>0</v>
      </c>
      <c r="D5" s="5">
        <v>138582.68</v>
      </c>
      <c r="E5" s="5">
        <v>138582.68</v>
      </c>
      <c r="F5" s="5">
        <v>27918.99</v>
      </c>
      <c r="G5" s="5">
        <v>110663.69</v>
      </c>
    </row>
    <row r="6" spans="1:7">
      <c r="A6" t="s">
        <v>25</v>
      </c>
      <c r="B6" t="s">
        <v>25</v>
      </c>
      <c r="C6" s="5">
        <v>120000</v>
      </c>
      <c r="D6" s="5">
        <v>-60846.69</v>
      </c>
      <c r="E6" s="5">
        <v>59153.31</v>
      </c>
      <c r="F6" s="5">
        <v>0</v>
      </c>
      <c r="G6" s="5">
        <v>54153.31</v>
      </c>
    </row>
    <row r="7" spans="1:7">
      <c r="A7" t="s">
        <v>27</v>
      </c>
      <c r="B7" t="s">
        <v>27</v>
      </c>
      <c r="C7" s="5">
        <v>0</v>
      </c>
      <c r="D7" s="5">
        <v>-5994.6</v>
      </c>
      <c r="E7" s="5">
        <v>-5994.6</v>
      </c>
      <c r="F7" s="5">
        <v>0</v>
      </c>
      <c r="G7" s="5">
        <v>-5994.6</v>
      </c>
    </row>
    <row r="8" spans="1:7">
      <c r="A8" t="s">
        <v>26</v>
      </c>
      <c r="B8" t="s">
        <v>26</v>
      </c>
      <c r="C8" s="5">
        <v>0</v>
      </c>
      <c r="D8" s="5">
        <v>0</v>
      </c>
      <c r="E8" s="5">
        <v>0</v>
      </c>
      <c r="F8" s="5">
        <v>0</v>
      </c>
      <c r="G8" s="5">
        <v>0</v>
      </c>
    </row>
    <row r="9" spans="1:7">
      <c r="A9" t="s">
        <v>28</v>
      </c>
      <c r="B9" t="s">
        <v>181</v>
      </c>
      <c r="C9" s="5">
        <v>206000</v>
      </c>
      <c r="D9" s="5">
        <v>0</v>
      </c>
      <c r="E9" s="5">
        <v>206000</v>
      </c>
      <c r="F9" s="5">
        <v>179.38</v>
      </c>
      <c r="G9" s="5">
        <v>205820.62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H27"/>
  <sheetViews>
    <sheetView workbookViewId="0"/>
  </sheetViews>
  <sheetFormatPr defaultRowHeight="15"/>
  <cols>
    <col min="1" max="1" width="20.7109375" customWidth="1"/>
    <col min="2" max="8" width="16.7109375" customWidth="1"/>
  </cols>
  <sheetData>
    <row r="1" spans="1:8">
      <c r="A1" s="1" t="s">
        <v>182</v>
      </c>
      <c r="B1" s="1"/>
      <c r="C1" s="1"/>
      <c r="D1" s="1"/>
      <c r="E1" s="1"/>
      <c r="F1" s="1"/>
      <c r="G1" s="1"/>
      <c r="H1" s="1"/>
    </row>
    <row r="3" spans="1:8">
      <c r="A3" s="2" t="s">
        <v>183</v>
      </c>
      <c r="B3" s="2" t="s">
        <v>79</v>
      </c>
      <c r="D3" s="2" t="s">
        <v>50</v>
      </c>
    </row>
    <row r="4" spans="1:8">
      <c r="A4" s="3" t="s">
        <v>184</v>
      </c>
      <c r="B4" s="5">
        <f>SUM(tbl_project[收入金额])</f>
        <v>0</v>
      </c>
      <c r="D4" s="4" t="s">
        <v>185</v>
      </c>
    </row>
    <row r="5" spans="1:8">
      <c r="A5" s="3" t="s">
        <v>186</v>
      </c>
      <c r="B5" s="5">
        <f>SUM(tbl_project[可分配利润])</f>
        <v>0</v>
      </c>
      <c r="D5" s="4" t="s">
        <v>187</v>
      </c>
    </row>
    <row r="6" spans="1:8">
      <c r="A6" s="3" t="s">
        <v>188</v>
      </c>
      <c r="B6" s="5">
        <f>SUM(tbl_project[分配合计])</f>
        <v>0</v>
      </c>
      <c r="D6" s="4" t="s">
        <v>189</v>
      </c>
    </row>
    <row r="7" spans="1:8">
      <c r="A7" s="3" t="s">
        <v>68</v>
      </c>
      <c r="B7" s="5">
        <f>SUM(tbl_project[分配差额])</f>
        <v>0</v>
      </c>
      <c r="D7" s="4" t="s">
        <v>190</v>
      </c>
    </row>
    <row r="8" spans="1:8">
      <c r="A8" s="3" t="s">
        <v>191</v>
      </c>
      <c r="B8" s="5">
        <f>SUMIFS(tbl_public[金额],tbl_public[口径],"实际扣款")</f>
        <v>0</v>
      </c>
      <c r="D8" s="4" t="s">
        <v>192</v>
      </c>
    </row>
    <row r="9" spans="1:8">
      <c r="A9" s="3" t="s">
        <v>193</v>
      </c>
      <c r="B9" s="5">
        <f>SUMIFS(tbl_public[金额],tbl_public[口径],"应支付")</f>
        <v>0</v>
      </c>
      <c r="D9" s="4" t="s">
        <v>194</v>
      </c>
    </row>
    <row r="10" spans="1:8">
      <c r="A10" s="3" t="s">
        <v>195</v>
      </c>
      <c r="B10" s="5">
        <f>SUM(tbl_cashflow[收入])</f>
        <v>0</v>
      </c>
      <c r="D10" s="4" t="s">
        <v>196</v>
      </c>
    </row>
    <row r="11" spans="1:8">
      <c r="A11" s="3" t="s">
        <v>197</v>
      </c>
      <c r="B11" s="5">
        <f>SUM(tbl_cashflow[支出])</f>
        <v>0</v>
      </c>
      <c r="D11" s="4" t="s">
        <v>198</v>
      </c>
    </row>
    <row r="14" spans="1:8">
      <c r="A14" s="2" t="s">
        <v>199</v>
      </c>
      <c r="E14" s="2" t="s">
        <v>201</v>
      </c>
    </row>
    <row r="15" spans="1:8">
      <c r="A15" s="2" t="s">
        <v>19</v>
      </c>
      <c r="B15" s="2" t="s">
        <v>188</v>
      </c>
      <c r="C15" s="2" t="s">
        <v>200</v>
      </c>
      <c r="E15" s="2" t="s">
        <v>0</v>
      </c>
      <c r="F15" s="2" t="s">
        <v>16</v>
      </c>
      <c r="G15" s="2" t="s">
        <v>66</v>
      </c>
      <c r="H15" s="2" t="s">
        <v>68</v>
      </c>
    </row>
    <row r="16" spans="1:8">
      <c r="A16" t="s">
        <v>20</v>
      </c>
      <c r="B16" s="5">
        <f>SUM(tbl_project[苏薇])</f>
        <v>0</v>
      </c>
      <c r="C16" s="5" cm="1">
        <f t="array" ref="C16">IFERROR(_xlfn.XLOOKUP(A16,tbl_object_snapshot[对象],tbl_object_snapshot[可分配余额]),"")</f>
        <v>0</v>
      </c>
      <c r="E16" t="s">
        <v>1</v>
      </c>
      <c r="F16" s="5">
        <f>SUMIFS(tbl_project[收入金额],tbl_project[月份],E16)</f>
        <v>0</v>
      </c>
      <c r="G16" s="5">
        <f>SUMIFS(tbl_project[可分配利润],tbl_project[月份],E16)</f>
        <v>0</v>
      </c>
      <c r="H16" s="5">
        <f>SUMIFS(tbl_project[分配差额],tbl_project[月份],E16)</f>
        <v>0</v>
      </c>
    </row>
    <row r="17" spans="1:8">
      <c r="A17" t="s">
        <v>21</v>
      </c>
      <c r="B17" s="5">
        <f>SUM(tbl_project[蒋家宁])</f>
        <v>0</v>
      </c>
      <c r="C17" s="5" cm="1">
        <f t="array" ref="C17">IFERROR(_xlfn.XLOOKUP(A17,tbl_object_snapshot[对象],tbl_object_snapshot[可分配余额]),"")</f>
        <v>0</v>
      </c>
      <c r="E17" t="s">
        <v>2</v>
      </c>
      <c r="F17" s="5">
        <f>SUMIFS(tbl_project[收入金额],tbl_project[月份],E17)</f>
        <v>0</v>
      </c>
      <c r="G17" s="5">
        <f>SUMIFS(tbl_project[可分配利润],tbl_project[月份],E17)</f>
        <v>0</v>
      </c>
      <c r="H17" s="5">
        <f>SUMIFS(tbl_project[分配差额],tbl_project[月份],E17)</f>
        <v>0</v>
      </c>
    </row>
    <row r="18" spans="1:8">
      <c r="A18" t="s">
        <v>22</v>
      </c>
      <c r="B18" s="5">
        <f>SUM(tbl_project[朱潇潇/木雨])</f>
        <v>0</v>
      </c>
      <c r="C18" s="5" cm="1">
        <f t="array" ref="C18">IFERROR(_xlfn.XLOOKUP(A18,tbl_object_snapshot[对象],tbl_object_snapshot[可分配余额]),"")</f>
        <v>0</v>
      </c>
      <c r="E18" t="s">
        <v>3</v>
      </c>
      <c r="F18" s="5">
        <f>SUMIFS(tbl_project[收入金额],tbl_project[月份],E18)</f>
        <v>0</v>
      </c>
      <c r="G18" s="5">
        <f>SUMIFS(tbl_project[可分配利润],tbl_project[月份],E18)</f>
        <v>0</v>
      </c>
      <c r="H18" s="5">
        <f>SUMIFS(tbl_project[分配差额],tbl_project[月份],E18)</f>
        <v>0</v>
      </c>
    </row>
    <row r="19" spans="1:8">
      <c r="A19" t="s">
        <v>23</v>
      </c>
      <c r="B19" s="5">
        <f>SUM(tbl_project[公共可支配])</f>
        <v>0</v>
      </c>
      <c r="C19" s="5" cm="1">
        <f t="array" ref="C19">IFERROR(_xlfn.XLOOKUP(A19,tbl_object_snapshot[对象],tbl_object_snapshot[可分配余额]),"")</f>
        <v>0</v>
      </c>
      <c r="E19" t="s">
        <v>4</v>
      </c>
      <c r="F19" s="5">
        <f>SUMIFS(tbl_project[收入金额],tbl_project[月份],E19)</f>
        <v>0</v>
      </c>
      <c r="G19" s="5">
        <f>SUMIFS(tbl_project[可分配利润],tbl_project[月份],E19)</f>
        <v>0</v>
      </c>
      <c r="H19" s="5">
        <f>SUMIFS(tbl_project[分配差额],tbl_project[月份],E19)</f>
        <v>0</v>
      </c>
    </row>
    <row r="20" spans="1:8">
      <c r="A20" t="s">
        <v>24</v>
      </c>
      <c r="B20" s="5">
        <f>SUM(tbl_project[妹妹项目组])</f>
        <v>0</v>
      </c>
      <c r="C20" s="5" cm="1">
        <f t="array" ref="C20">IFERROR(_xlfn.XLOOKUP(A20,tbl_object_snapshot[对象],tbl_object_snapshot[可分配余额]),"")</f>
        <v>0</v>
      </c>
      <c r="E20" t="s">
        <v>5</v>
      </c>
      <c r="F20" s="5">
        <f>SUMIFS(tbl_project[收入金额],tbl_project[月份],E20)</f>
        <v>0</v>
      </c>
      <c r="G20" s="5">
        <f>SUMIFS(tbl_project[可分配利润],tbl_project[月份],E20)</f>
        <v>0</v>
      </c>
      <c r="H20" s="5">
        <f>SUMIFS(tbl_project[分配差额],tbl_project[月份],E20)</f>
        <v>0</v>
      </c>
    </row>
    <row r="21" spans="1:8">
      <c r="A21" t="s">
        <v>25</v>
      </c>
      <c r="B21" s="5">
        <f>SUM(tbl_project[自研产品组])</f>
        <v>0</v>
      </c>
      <c r="C21" s="5" cm="1">
        <f t="array" ref="C21">IFERROR(_xlfn.XLOOKUP(A21,tbl_object_snapshot[对象],tbl_object_snapshot[可分配余额]),"")</f>
        <v>0</v>
      </c>
      <c r="E21" t="s">
        <v>6</v>
      </c>
      <c r="F21" s="5">
        <f>SUMIFS(tbl_project[收入金额],tbl_project[月份],E21)</f>
        <v>0</v>
      </c>
      <c r="G21" s="5">
        <f>SUMIFS(tbl_project[可分配利润],tbl_project[月份],E21)</f>
        <v>0</v>
      </c>
      <c r="H21" s="5">
        <f>SUMIFS(tbl_project[分配差额],tbl_project[月份],E21)</f>
        <v>0</v>
      </c>
    </row>
    <row r="22" spans="1:8">
      <c r="A22" t="s">
        <v>26</v>
      </c>
      <c r="B22" s="5">
        <f>SUM(tbl_project[电商渠道组])</f>
        <v>0</v>
      </c>
      <c r="C22" s="5" cm="1">
        <f t="array" ref="C22">IFERROR(_xlfn.XLOOKUP(A22,tbl_object_snapshot[对象],tbl_object_snapshot[可分配余额]),"")</f>
        <v>0</v>
      </c>
      <c r="E22" t="s">
        <v>7</v>
      </c>
      <c r="F22" s="5">
        <f>SUMIFS(tbl_project[收入金额],tbl_project[月份],E22)</f>
        <v>0</v>
      </c>
      <c r="G22" s="5">
        <f>SUMIFS(tbl_project[可分配利润],tbl_project[月份],E22)</f>
        <v>0</v>
      </c>
      <c r="H22" s="5">
        <f>SUMIFS(tbl_project[分配差额],tbl_project[月份],E22)</f>
        <v>0</v>
      </c>
    </row>
    <row r="23" spans="1:8">
      <c r="A23" t="s">
        <v>27</v>
      </c>
      <c r="B23" s="5">
        <f>SUM(tbl_project[AIGC组])</f>
        <v>0</v>
      </c>
      <c r="C23" s="5" cm="1">
        <f t="array" ref="C23">IFERROR(_xlfn.XLOOKUP(A23,tbl_object_snapshot[对象],tbl_object_snapshot[可分配余额]),"")</f>
        <v>0</v>
      </c>
      <c r="E23" t="s">
        <v>8</v>
      </c>
      <c r="F23" s="5">
        <f>SUMIFS(tbl_project[收入金额],tbl_project[月份],E23)</f>
        <v>0</v>
      </c>
      <c r="G23" s="5">
        <f>SUMIFS(tbl_project[可分配利润],tbl_project[月份],E23)</f>
        <v>0</v>
      </c>
      <c r="H23" s="5">
        <f>SUMIFS(tbl_project[分配差额],tbl_project[月份],E23)</f>
        <v>0</v>
      </c>
    </row>
    <row r="24" spans="1:8">
      <c r="E24" t="s">
        <v>9</v>
      </c>
      <c r="F24" s="5">
        <f>SUMIFS(tbl_project[收入金额],tbl_project[月份],E24)</f>
        <v>0</v>
      </c>
      <c r="G24" s="5">
        <f>SUMIFS(tbl_project[可分配利润],tbl_project[月份],E24)</f>
        <v>0</v>
      </c>
      <c r="H24" s="5">
        <f>SUMIFS(tbl_project[分配差额],tbl_project[月份],E24)</f>
        <v>0</v>
      </c>
    </row>
    <row r="25" spans="1:8">
      <c r="E25" t="s">
        <v>10</v>
      </c>
      <c r="F25" s="5">
        <f>SUMIFS(tbl_project[收入金额],tbl_project[月份],E25)</f>
        <v>0</v>
      </c>
      <c r="G25" s="5">
        <f>SUMIFS(tbl_project[可分配利润],tbl_project[月份],E25)</f>
        <v>0</v>
      </c>
      <c r="H25" s="5">
        <f>SUMIFS(tbl_project[分配差额],tbl_project[月份],E25)</f>
        <v>0</v>
      </c>
    </row>
    <row r="26" spans="1:8">
      <c r="E26" t="s">
        <v>11</v>
      </c>
      <c r="F26" s="5">
        <f>SUMIFS(tbl_project[收入金额],tbl_project[月份],E26)</f>
        <v>0</v>
      </c>
      <c r="G26" s="5">
        <f>SUMIFS(tbl_project[可分配利润],tbl_project[月份],E26)</f>
        <v>0</v>
      </c>
      <c r="H26" s="5">
        <f>SUMIFS(tbl_project[分配差额],tbl_project[月份],E26)</f>
        <v>0</v>
      </c>
    </row>
    <row r="27" spans="1:8">
      <c r="E27" t="s">
        <v>12</v>
      </c>
      <c r="F27" s="5">
        <f>SUMIFS(tbl_project[收入金额],tbl_project[月份],E27)</f>
        <v>0</v>
      </c>
      <c r="G27" s="5">
        <f>SUMIFS(tbl_project[可分配利润],tbl_project[月份],E27)</f>
        <v>0</v>
      </c>
      <c r="H27" s="5">
        <f>SUMIFS(tbl_project[分配差额],tbl_project[月份],E27)</f>
        <v>0</v>
      </c>
    </row>
  </sheetData>
  <mergeCells count="1">
    <mergeCell ref="A1:H1"/>
  </mergeCells>
  <conditionalFormatting sqref="B4:B11">
    <cfRule type="cellIs" dxfId="0" priority="1" operator="lessThan">
      <formula>0</formula>
    </cfRule>
    <cfRule type="cellIs" dxfId="1" priority="2" operator="greaterThanOr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K13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0.7109375" customWidth="1"/>
    <col min="2" max="11" width="14.7109375" style="5" customWidth="1"/>
  </cols>
  <sheetData>
    <row r="1" spans="1:11">
      <c r="A1" s="2" t="s">
        <v>0</v>
      </c>
      <c r="B1" s="2" t="s">
        <v>16</v>
      </c>
      <c r="C1" s="2" t="s">
        <v>64</v>
      </c>
      <c r="D1" s="2" t="s">
        <v>65</v>
      </c>
      <c r="E1" s="2" t="s">
        <v>66</v>
      </c>
      <c r="F1" s="2" t="s">
        <v>67</v>
      </c>
      <c r="G1" s="2" t="s">
        <v>68</v>
      </c>
      <c r="H1" s="2" t="s">
        <v>202</v>
      </c>
      <c r="I1" s="2" t="s">
        <v>203</v>
      </c>
      <c r="J1" s="2" t="s">
        <v>204</v>
      </c>
      <c r="K1" s="2" t="s">
        <v>205</v>
      </c>
    </row>
    <row r="2" spans="1:11">
      <c r="A2" t="s">
        <v>1</v>
      </c>
      <c r="B2" s="5">
        <f>SUMIFS(tbl_project[收入金额],tbl_project[月份],A2)</f>
        <v>0</v>
      </c>
      <c r="C2" s="5">
        <f>SUMIFS(tbl_project[项目支出],tbl_project[月份],A2)</f>
        <v>0</v>
      </c>
      <c r="D2" s="5">
        <f>SUMIFS(tbl_project[第三方支出],tbl_project[月份],A2)</f>
        <v>0</v>
      </c>
      <c r="E2" s="5">
        <f>SUMIFS(tbl_project[可分配利润],tbl_project[月份],A2)</f>
        <v>0</v>
      </c>
      <c r="F2" s="5">
        <f>SUMIFS(tbl_project[分配合计],tbl_project[月份],A2)</f>
        <v>0</v>
      </c>
      <c r="G2" s="5">
        <f>SUMIFS(tbl_project[分配差额],tbl_project[月份],A2)</f>
        <v>0</v>
      </c>
      <c r="H2" s="5">
        <f>SUMIFS(tbl_public[金额],tbl_public[月份],A2,tbl_public[口径],"实际扣款")</f>
        <v>0</v>
      </c>
      <c r="I2" s="5">
        <f>SUMIFS(tbl_public[金额],tbl_public[月份],A2,tbl_public[口径],"应支付")</f>
        <v>0</v>
      </c>
      <c r="J2" s="5">
        <f>SUMIFS(tbl_cashflow[收入],tbl_cashflow[日期],"&gt;="&amp;DATE(2026,--SUBSTITUTE(A2,"月",""),1),tbl_cashflow[日期],"&lt;"&amp;EDATE(DATE(2026,--SUBSTITUTE(A2,"月",""),1),1))</f>
        <v>0</v>
      </c>
      <c r="K2" s="5">
        <f>SUMIFS(tbl_cashflow[支出],tbl_cashflow[日期],"&gt;="&amp;DATE(2026,--SUBSTITUTE(A2,"月",""),1),tbl_cashflow[日期],"&lt;"&amp;EDATE(DATE(2026,--SUBSTITUTE(A2,"月",""),1),1))</f>
        <v>0</v>
      </c>
    </row>
    <row r="3" spans="1:11">
      <c r="A3" t="s">
        <v>2</v>
      </c>
      <c r="B3" s="5">
        <f>SUMIFS(tbl_project[收入金额],tbl_project[月份],A3)</f>
        <v>0</v>
      </c>
      <c r="C3" s="5">
        <f>SUMIFS(tbl_project[项目支出],tbl_project[月份],A3)</f>
        <v>0</v>
      </c>
      <c r="D3" s="5">
        <f>SUMIFS(tbl_project[第三方支出],tbl_project[月份],A3)</f>
        <v>0</v>
      </c>
      <c r="E3" s="5">
        <f>SUMIFS(tbl_project[可分配利润],tbl_project[月份],A3)</f>
        <v>0</v>
      </c>
      <c r="F3" s="5">
        <f>SUMIFS(tbl_project[分配合计],tbl_project[月份],A3)</f>
        <v>0</v>
      </c>
      <c r="G3" s="5">
        <f>SUMIFS(tbl_project[分配差额],tbl_project[月份],A3)</f>
        <v>0</v>
      </c>
      <c r="H3" s="5">
        <f>SUMIFS(tbl_public[金额],tbl_public[月份],A3,tbl_public[口径],"实际扣款")</f>
        <v>0</v>
      </c>
      <c r="I3" s="5">
        <f>SUMIFS(tbl_public[金额],tbl_public[月份],A3,tbl_public[口径],"应支付")</f>
        <v>0</v>
      </c>
      <c r="J3" s="5">
        <f>SUMIFS(tbl_cashflow[收入],tbl_cashflow[日期],"&gt;="&amp;DATE(2026,--SUBSTITUTE(A3,"月",""),1),tbl_cashflow[日期],"&lt;"&amp;EDATE(DATE(2026,--SUBSTITUTE(A3,"月",""),1),1))</f>
        <v>0</v>
      </c>
      <c r="K3" s="5">
        <f>SUMIFS(tbl_cashflow[支出],tbl_cashflow[日期],"&gt;="&amp;DATE(2026,--SUBSTITUTE(A3,"月",""),1),tbl_cashflow[日期],"&lt;"&amp;EDATE(DATE(2026,--SUBSTITUTE(A3,"月",""),1),1))</f>
        <v>0</v>
      </c>
    </row>
    <row r="4" spans="1:11">
      <c r="A4" t="s">
        <v>3</v>
      </c>
      <c r="B4" s="5">
        <f>SUMIFS(tbl_project[收入金额],tbl_project[月份],A4)</f>
        <v>0</v>
      </c>
      <c r="C4" s="5">
        <f>SUMIFS(tbl_project[项目支出],tbl_project[月份],A4)</f>
        <v>0</v>
      </c>
      <c r="D4" s="5">
        <f>SUMIFS(tbl_project[第三方支出],tbl_project[月份],A4)</f>
        <v>0</v>
      </c>
      <c r="E4" s="5">
        <f>SUMIFS(tbl_project[可分配利润],tbl_project[月份],A4)</f>
        <v>0</v>
      </c>
      <c r="F4" s="5">
        <f>SUMIFS(tbl_project[分配合计],tbl_project[月份],A4)</f>
        <v>0</v>
      </c>
      <c r="G4" s="5">
        <f>SUMIFS(tbl_project[分配差额],tbl_project[月份],A4)</f>
        <v>0</v>
      </c>
      <c r="H4" s="5">
        <f>SUMIFS(tbl_public[金额],tbl_public[月份],A4,tbl_public[口径],"实际扣款")</f>
        <v>0</v>
      </c>
      <c r="I4" s="5">
        <f>SUMIFS(tbl_public[金额],tbl_public[月份],A4,tbl_public[口径],"应支付")</f>
        <v>0</v>
      </c>
      <c r="J4" s="5">
        <f>SUMIFS(tbl_cashflow[收入],tbl_cashflow[日期],"&gt;="&amp;DATE(2026,--SUBSTITUTE(A4,"月",""),1),tbl_cashflow[日期],"&lt;"&amp;EDATE(DATE(2026,--SUBSTITUTE(A4,"月",""),1),1))</f>
        <v>0</v>
      </c>
      <c r="K4" s="5">
        <f>SUMIFS(tbl_cashflow[支出],tbl_cashflow[日期],"&gt;="&amp;DATE(2026,--SUBSTITUTE(A4,"月",""),1),tbl_cashflow[日期],"&lt;"&amp;EDATE(DATE(2026,--SUBSTITUTE(A4,"月",""),1),1))</f>
        <v>0</v>
      </c>
    </row>
    <row r="5" spans="1:11">
      <c r="A5" t="s">
        <v>4</v>
      </c>
      <c r="B5" s="5">
        <f>SUMIFS(tbl_project[收入金额],tbl_project[月份],A5)</f>
        <v>0</v>
      </c>
      <c r="C5" s="5">
        <f>SUMIFS(tbl_project[项目支出],tbl_project[月份],A5)</f>
        <v>0</v>
      </c>
      <c r="D5" s="5">
        <f>SUMIFS(tbl_project[第三方支出],tbl_project[月份],A5)</f>
        <v>0</v>
      </c>
      <c r="E5" s="5">
        <f>SUMIFS(tbl_project[可分配利润],tbl_project[月份],A5)</f>
        <v>0</v>
      </c>
      <c r="F5" s="5">
        <f>SUMIFS(tbl_project[分配合计],tbl_project[月份],A5)</f>
        <v>0</v>
      </c>
      <c r="G5" s="5">
        <f>SUMIFS(tbl_project[分配差额],tbl_project[月份],A5)</f>
        <v>0</v>
      </c>
      <c r="H5" s="5">
        <f>SUMIFS(tbl_public[金额],tbl_public[月份],A5,tbl_public[口径],"实际扣款")</f>
        <v>0</v>
      </c>
      <c r="I5" s="5">
        <f>SUMIFS(tbl_public[金额],tbl_public[月份],A5,tbl_public[口径],"应支付")</f>
        <v>0</v>
      </c>
      <c r="J5" s="5">
        <f>SUMIFS(tbl_cashflow[收入],tbl_cashflow[日期],"&gt;="&amp;DATE(2026,--SUBSTITUTE(A5,"月",""),1),tbl_cashflow[日期],"&lt;"&amp;EDATE(DATE(2026,--SUBSTITUTE(A5,"月",""),1),1))</f>
        <v>0</v>
      </c>
      <c r="K5" s="5">
        <f>SUMIFS(tbl_cashflow[支出],tbl_cashflow[日期],"&gt;="&amp;DATE(2026,--SUBSTITUTE(A5,"月",""),1),tbl_cashflow[日期],"&lt;"&amp;EDATE(DATE(2026,--SUBSTITUTE(A5,"月",""),1),1))</f>
        <v>0</v>
      </c>
    </row>
    <row r="6" spans="1:11">
      <c r="A6" t="s">
        <v>5</v>
      </c>
      <c r="B6" s="5">
        <f>SUMIFS(tbl_project[收入金额],tbl_project[月份],A6)</f>
        <v>0</v>
      </c>
      <c r="C6" s="5">
        <f>SUMIFS(tbl_project[项目支出],tbl_project[月份],A6)</f>
        <v>0</v>
      </c>
      <c r="D6" s="5">
        <f>SUMIFS(tbl_project[第三方支出],tbl_project[月份],A6)</f>
        <v>0</v>
      </c>
      <c r="E6" s="5">
        <f>SUMIFS(tbl_project[可分配利润],tbl_project[月份],A6)</f>
        <v>0</v>
      </c>
      <c r="F6" s="5">
        <f>SUMIFS(tbl_project[分配合计],tbl_project[月份],A6)</f>
        <v>0</v>
      </c>
      <c r="G6" s="5">
        <f>SUMIFS(tbl_project[分配差额],tbl_project[月份],A6)</f>
        <v>0</v>
      </c>
      <c r="H6" s="5">
        <f>SUMIFS(tbl_public[金额],tbl_public[月份],A6,tbl_public[口径],"实际扣款")</f>
        <v>0</v>
      </c>
      <c r="I6" s="5">
        <f>SUMIFS(tbl_public[金额],tbl_public[月份],A6,tbl_public[口径],"应支付")</f>
        <v>0</v>
      </c>
      <c r="J6" s="5">
        <f>SUMIFS(tbl_cashflow[收入],tbl_cashflow[日期],"&gt;="&amp;DATE(2026,--SUBSTITUTE(A6,"月",""),1),tbl_cashflow[日期],"&lt;"&amp;EDATE(DATE(2026,--SUBSTITUTE(A6,"月",""),1),1))</f>
        <v>0</v>
      </c>
      <c r="K6" s="5">
        <f>SUMIFS(tbl_cashflow[支出],tbl_cashflow[日期],"&gt;="&amp;DATE(2026,--SUBSTITUTE(A6,"月",""),1),tbl_cashflow[日期],"&lt;"&amp;EDATE(DATE(2026,--SUBSTITUTE(A6,"月",""),1),1))</f>
        <v>0</v>
      </c>
    </row>
    <row r="7" spans="1:11">
      <c r="A7" t="s">
        <v>6</v>
      </c>
      <c r="B7" s="5">
        <f>SUMIFS(tbl_project[收入金额],tbl_project[月份],A7)</f>
        <v>0</v>
      </c>
      <c r="C7" s="5">
        <f>SUMIFS(tbl_project[项目支出],tbl_project[月份],A7)</f>
        <v>0</v>
      </c>
      <c r="D7" s="5">
        <f>SUMIFS(tbl_project[第三方支出],tbl_project[月份],A7)</f>
        <v>0</v>
      </c>
      <c r="E7" s="5">
        <f>SUMIFS(tbl_project[可分配利润],tbl_project[月份],A7)</f>
        <v>0</v>
      </c>
      <c r="F7" s="5">
        <f>SUMIFS(tbl_project[分配合计],tbl_project[月份],A7)</f>
        <v>0</v>
      </c>
      <c r="G7" s="5">
        <f>SUMIFS(tbl_project[分配差额],tbl_project[月份],A7)</f>
        <v>0</v>
      </c>
      <c r="H7" s="5">
        <f>SUMIFS(tbl_public[金额],tbl_public[月份],A7,tbl_public[口径],"实际扣款")</f>
        <v>0</v>
      </c>
      <c r="I7" s="5">
        <f>SUMIFS(tbl_public[金额],tbl_public[月份],A7,tbl_public[口径],"应支付")</f>
        <v>0</v>
      </c>
      <c r="J7" s="5">
        <f>SUMIFS(tbl_cashflow[收入],tbl_cashflow[日期],"&gt;="&amp;DATE(2026,--SUBSTITUTE(A7,"月",""),1),tbl_cashflow[日期],"&lt;"&amp;EDATE(DATE(2026,--SUBSTITUTE(A7,"月",""),1),1))</f>
        <v>0</v>
      </c>
      <c r="K7" s="5">
        <f>SUMIFS(tbl_cashflow[支出],tbl_cashflow[日期],"&gt;="&amp;DATE(2026,--SUBSTITUTE(A7,"月",""),1),tbl_cashflow[日期],"&lt;"&amp;EDATE(DATE(2026,--SUBSTITUTE(A7,"月",""),1),1))</f>
        <v>0</v>
      </c>
    </row>
    <row r="8" spans="1:11">
      <c r="A8" t="s">
        <v>7</v>
      </c>
      <c r="B8" s="5">
        <f>SUMIFS(tbl_project[收入金额],tbl_project[月份],A8)</f>
        <v>0</v>
      </c>
      <c r="C8" s="5">
        <f>SUMIFS(tbl_project[项目支出],tbl_project[月份],A8)</f>
        <v>0</v>
      </c>
      <c r="D8" s="5">
        <f>SUMIFS(tbl_project[第三方支出],tbl_project[月份],A8)</f>
        <v>0</v>
      </c>
      <c r="E8" s="5">
        <f>SUMIFS(tbl_project[可分配利润],tbl_project[月份],A8)</f>
        <v>0</v>
      </c>
      <c r="F8" s="5">
        <f>SUMIFS(tbl_project[分配合计],tbl_project[月份],A8)</f>
        <v>0</v>
      </c>
      <c r="G8" s="5">
        <f>SUMIFS(tbl_project[分配差额],tbl_project[月份],A8)</f>
        <v>0</v>
      </c>
      <c r="H8" s="5">
        <f>SUMIFS(tbl_public[金额],tbl_public[月份],A8,tbl_public[口径],"实际扣款")</f>
        <v>0</v>
      </c>
      <c r="I8" s="5">
        <f>SUMIFS(tbl_public[金额],tbl_public[月份],A8,tbl_public[口径],"应支付")</f>
        <v>0</v>
      </c>
      <c r="J8" s="5">
        <f>SUMIFS(tbl_cashflow[收入],tbl_cashflow[日期],"&gt;="&amp;DATE(2026,--SUBSTITUTE(A8,"月",""),1),tbl_cashflow[日期],"&lt;"&amp;EDATE(DATE(2026,--SUBSTITUTE(A8,"月",""),1),1))</f>
        <v>0</v>
      </c>
      <c r="K8" s="5">
        <f>SUMIFS(tbl_cashflow[支出],tbl_cashflow[日期],"&gt;="&amp;DATE(2026,--SUBSTITUTE(A8,"月",""),1),tbl_cashflow[日期],"&lt;"&amp;EDATE(DATE(2026,--SUBSTITUTE(A8,"月",""),1),1))</f>
        <v>0</v>
      </c>
    </row>
    <row r="9" spans="1:11">
      <c r="A9" t="s">
        <v>8</v>
      </c>
      <c r="B9" s="5">
        <f>SUMIFS(tbl_project[收入金额],tbl_project[月份],A9)</f>
        <v>0</v>
      </c>
      <c r="C9" s="5">
        <f>SUMIFS(tbl_project[项目支出],tbl_project[月份],A9)</f>
        <v>0</v>
      </c>
      <c r="D9" s="5">
        <f>SUMIFS(tbl_project[第三方支出],tbl_project[月份],A9)</f>
        <v>0</v>
      </c>
      <c r="E9" s="5">
        <f>SUMIFS(tbl_project[可分配利润],tbl_project[月份],A9)</f>
        <v>0</v>
      </c>
      <c r="F9" s="5">
        <f>SUMIFS(tbl_project[分配合计],tbl_project[月份],A9)</f>
        <v>0</v>
      </c>
      <c r="G9" s="5">
        <f>SUMIFS(tbl_project[分配差额],tbl_project[月份],A9)</f>
        <v>0</v>
      </c>
      <c r="H9" s="5">
        <f>SUMIFS(tbl_public[金额],tbl_public[月份],A9,tbl_public[口径],"实际扣款")</f>
        <v>0</v>
      </c>
      <c r="I9" s="5">
        <f>SUMIFS(tbl_public[金额],tbl_public[月份],A9,tbl_public[口径],"应支付")</f>
        <v>0</v>
      </c>
      <c r="J9" s="5">
        <f>SUMIFS(tbl_cashflow[收入],tbl_cashflow[日期],"&gt;="&amp;DATE(2026,--SUBSTITUTE(A9,"月",""),1),tbl_cashflow[日期],"&lt;"&amp;EDATE(DATE(2026,--SUBSTITUTE(A9,"月",""),1),1))</f>
        <v>0</v>
      </c>
      <c r="K9" s="5">
        <f>SUMIFS(tbl_cashflow[支出],tbl_cashflow[日期],"&gt;="&amp;DATE(2026,--SUBSTITUTE(A9,"月",""),1),tbl_cashflow[日期],"&lt;"&amp;EDATE(DATE(2026,--SUBSTITUTE(A9,"月",""),1),1))</f>
        <v>0</v>
      </c>
    </row>
    <row r="10" spans="1:11">
      <c r="A10" t="s">
        <v>9</v>
      </c>
      <c r="B10" s="5">
        <f>SUMIFS(tbl_project[收入金额],tbl_project[月份],A10)</f>
        <v>0</v>
      </c>
      <c r="C10" s="5">
        <f>SUMIFS(tbl_project[项目支出],tbl_project[月份],A10)</f>
        <v>0</v>
      </c>
      <c r="D10" s="5">
        <f>SUMIFS(tbl_project[第三方支出],tbl_project[月份],A10)</f>
        <v>0</v>
      </c>
      <c r="E10" s="5">
        <f>SUMIFS(tbl_project[可分配利润],tbl_project[月份],A10)</f>
        <v>0</v>
      </c>
      <c r="F10" s="5">
        <f>SUMIFS(tbl_project[分配合计],tbl_project[月份],A10)</f>
        <v>0</v>
      </c>
      <c r="G10" s="5">
        <f>SUMIFS(tbl_project[分配差额],tbl_project[月份],A10)</f>
        <v>0</v>
      </c>
      <c r="H10" s="5">
        <f>SUMIFS(tbl_public[金额],tbl_public[月份],A10,tbl_public[口径],"实际扣款")</f>
        <v>0</v>
      </c>
      <c r="I10" s="5">
        <f>SUMIFS(tbl_public[金额],tbl_public[月份],A10,tbl_public[口径],"应支付")</f>
        <v>0</v>
      </c>
      <c r="J10" s="5">
        <f>SUMIFS(tbl_cashflow[收入],tbl_cashflow[日期],"&gt;="&amp;DATE(2026,--SUBSTITUTE(A10,"月",""),1),tbl_cashflow[日期],"&lt;"&amp;EDATE(DATE(2026,--SUBSTITUTE(A10,"月",""),1),1))</f>
        <v>0</v>
      </c>
      <c r="K10" s="5">
        <f>SUMIFS(tbl_cashflow[支出],tbl_cashflow[日期],"&gt;="&amp;DATE(2026,--SUBSTITUTE(A10,"月",""),1),tbl_cashflow[日期],"&lt;"&amp;EDATE(DATE(2026,--SUBSTITUTE(A10,"月",""),1),1))</f>
        <v>0</v>
      </c>
    </row>
    <row r="11" spans="1:11">
      <c r="A11" t="s">
        <v>10</v>
      </c>
      <c r="B11" s="5">
        <f>SUMIFS(tbl_project[收入金额],tbl_project[月份],A11)</f>
        <v>0</v>
      </c>
      <c r="C11" s="5">
        <f>SUMIFS(tbl_project[项目支出],tbl_project[月份],A11)</f>
        <v>0</v>
      </c>
      <c r="D11" s="5">
        <f>SUMIFS(tbl_project[第三方支出],tbl_project[月份],A11)</f>
        <v>0</v>
      </c>
      <c r="E11" s="5">
        <f>SUMIFS(tbl_project[可分配利润],tbl_project[月份],A11)</f>
        <v>0</v>
      </c>
      <c r="F11" s="5">
        <f>SUMIFS(tbl_project[分配合计],tbl_project[月份],A11)</f>
        <v>0</v>
      </c>
      <c r="G11" s="5">
        <f>SUMIFS(tbl_project[分配差额],tbl_project[月份],A11)</f>
        <v>0</v>
      </c>
      <c r="H11" s="5">
        <f>SUMIFS(tbl_public[金额],tbl_public[月份],A11,tbl_public[口径],"实际扣款")</f>
        <v>0</v>
      </c>
      <c r="I11" s="5">
        <f>SUMIFS(tbl_public[金额],tbl_public[月份],A11,tbl_public[口径],"应支付")</f>
        <v>0</v>
      </c>
      <c r="J11" s="5">
        <f>SUMIFS(tbl_cashflow[收入],tbl_cashflow[日期],"&gt;="&amp;DATE(2026,--SUBSTITUTE(A11,"月",""),1),tbl_cashflow[日期],"&lt;"&amp;EDATE(DATE(2026,--SUBSTITUTE(A11,"月",""),1),1))</f>
        <v>0</v>
      </c>
      <c r="K11" s="5">
        <f>SUMIFS(tbl_cashflow[支出],tbl_cashflow[日期],"&gt;="&amp;DATE(2026,--SUBSTITUTE(A11,"月",""),1),tbl_cashflow[日期],"&lt;"&amp;EDATE(DATE(2026,--SUBSTITUTE(A11,"月",""),1),1))</f>
        <v>0</v>
      </c>
    </row>
    <row r="12" spans="1:11">
      <c r="A12" t="s">
        <v>11</v>
      </c>
      <c r="B12" s="5">
        <f>SUMIFS(tbl_project[收入金额],tbl_project[月份],A12)</f>
        <v>0</v>
      </c>
      <c r="C12" s="5">
        <f>SUMIFS(tbl_project[项目支出],tbl_project[月份],A12)</f>
        <v>0</v>
      </c>
      <c r="D12" s="5">
        <f>SUMIFS(tbl_project[第三方支出],tbl_project[月份],A12)</f>
        <v>0</v>
      </c>
      <c r="E12" s="5">
        <f>SUMIFS(tbl_project[可分配利润],tbl_project[月份],A12)</f>
        <v>0</v>
      </c>
      <c r="F12" s="5">
        <f>SUMIFS(tbl_project[分配合计],tbl_project[月份],A12)</f>
        <v>0</v>
      </c>
      <c r="G12" s="5">
        <f>SUMIFS(tbl_project[分配差额],tbl_project[月份],A12)</f>
        <v>0</v>
      </c>
      <c r="H12" s="5">
        <f>SUMIFS(tbl_public[金额],tbl_public[月份],A12,tbl_public[口径],"实际扣款")</f>
        <v>0</v>
      </c>
      <c r="I12" s="5">
        <f>SUMIFS(tbl_public[金额],tbl_public[月份],A12,tbl_public[口径],"应支付")</f>
        <v>0</v>
      </c>
      <c r="J12" s="5">
        <f>SUMIFS(tbl_cashflow[收入],tbl_cashflow[日期],"&gt;="&amp;DATE(2026,--SUBSTITUTE(A12,"月",""),1),tbl_cashflow[日期],"&lt;"&amp;EDATE(DATE(2026,--SUBSTITUTE(A12,"月",""),1),1))</f>
        <v>0</v>
      </c>
      <c r="K12" s="5">
        <f>SUMIFS(tbl_cashflow[支出],tbl_cashflow[日期],"&gt;="&amp;DATE(2026,--SUBSTITUTE(A12,"月",""),1),tbl_cashflow[日期],"&lt;"&amp;EDATE(DATE(2026,--SUBSTITUTE(A12,"月",""),1),1))</f>
        <v>0</v>
      </c>
    </row>
    <row r="13" spans="1:11">
      <c r="A13" t="s">
        <v>12</v>
      </c>
      <c r="B13" s="5">
        <f>SUMIFS(tbl_project[收入金额],tbl_project[月份],A13)</f>
        <v>0</v>
      </c>
      <c r="C13" s="5">
        <f>SUMIFS(tbl_project[项目支出],tbl_project[月份],A13)</f>
        <v>0</v>
      </c>
      <c r="D13" s="5">
        <f>SUMIFS(tbl_project[第三方支出],tbl_project[月份],A13)</f>
        <v>0</v>
      </c>
      <c r="E13" s="5">
        <f>SUMIFS(tbl_project[可分配利润],tbl_project[月份],A13)</f>
        <v>0</v>
      </c>
      <c r="F13" s="5">
        <f>SUMIFS(tbl_project[分配合计],tbl_project[月份],A13)</f>
        <v>0</v>
      </c>
      <c r="G13" s="5">
        <f>SUMIFS(tbl_project[分配差额],tbl_project[月份],A13)</f>
        <v>0</v>
      </c>
      <c r="H13" s="5">
        <f>SUMIFS(tbl_public[金额],tbl_public[月份],A13,tbl_public[口径],"实际扣款")</f>
        <v>0</v>
      </c>
      <c r="I13" s="5">
        <f>SUMIFS(tbl_public[金额],tbl_public[月份],A13,tbl_public[口径],"应支付")</f>
        <v>0</v>
      </c>
      <c r="J13" s="5">
        <f>SUMIFS(tbl_cashflow[收入],tbl_cashflow[日期],"&gt;="&amp;DATE(2026,--SUBSTITUTE(A13,"月",""),1),tbl_cashflow[日期],"&lt;"&amp;EDATE(DATE(2026,--SUBSTITUTE(A13,"月",""),1),1))</f>
        <v>0</v>
      </c>
      <c r="K13" s="5">
        <f>SUMIFS(tbl_cashflow[支出],tbl_cashflow[日期],"&gt;="&amp;DATE(2026,--SUBSTITUTE(A13,"月",""),1),tbl_cashflow[日期],"&lt;"&amp;EDATE(DATE(2026,--SUBSTITUTE(A13,"月",""),1),1))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6</vt:i4>
      </vt:variant>
    </vt:vector>
  </HeadingPairs>
  <TitlesOfParts>
    <vt:vector size="30" baseType="lpstr">
      <vt:lpstr>设置</vt:lpstr>
      <vt:lpstr>使用说明</vt:lpstr>
      <vt:lpstr>录入_项目分配</vt:lpstr>
      <vt:lpstr>录入_公共费用</vt:lpstr>
      <vt:lpstr>录入_对象收支</vt:lpstr>
      <vt:lpstr>录入_账户流水</vt:lpstr>
      <vt:lpstr>原表_对象余额汇总</vt:lpstr>
      <vt:lpstr>总览</vt:lpstr>
      <vt:lpstr>自动_月度汇总</vt:lpstr>
      <vt:lpstr>自动_对象余额</vt:lpstr>
      <vt:lpstr>校验中心</vt:lpstr>
      <vt:lpstr>参数_分配规则</vt:lpstr>
      <vt:lpstr>原表快照_收入分配表</vt:lpstr>
      <vt:lpstr>原表快照_公共组收入支配情况（实际扣款时间）</vt:lpstr>
      <vt:lpstr>原表快照_公共组收入支配情况（应支付时间）</vt:lpstr>
      <vt:lpstr>原表快照_苏薇提成支取表</vt:lpstr>
      <vt:lpstr>原表快照_小蒋提成支取表</vt:lpstr>
      <vt:lpstr>原表快照_木雨提成支取表</vt:lpstr>
      <vt:lpstr>原表快照_妹妹项目组</vt:lpstr>
      <vt:lpstr>原表快照_自研产品组</vt:lpstr>
      <vt:lpstr>原表快照_AIGC组</vt:lpstr>
      <vt:lpstr>原表快照_电商渠道组</vt:lpstr>
      <vt:lpstr>原表快照_云汉寻真账户明细</vt:lpstr>
      <vt:lpstr>原表快照_个体户账户</vt:lpstr>
      <vt:lpstr>list_公共费用大类</vt:lpstr>
      <vt:lpstr>list_口径</vt:lpstr>
      <vt:lpstr>list_对象</vt:lpstr>
      <vt:lpstr>list_对象收支类型</vt:lpstr>
      <vt:lpstr>list_月份</vt:lpstr>
      <vt:lpstr>list_款项类型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万物有灵项目利润分配表 智能简化版</dc:title>
  <dc:subject>利润分配/公共费用/对象余额/账户流水</dc:subject>
  <dc:creator>Hermes Agent</dc:creator>
  <cp:lastModifiedBy>Hermes Agent</cp:lastModifiedBy>
  <dcterms:created xsi:type="dcterms:W3CDTF">2026-05-15T03:33:32Z</dcterms:created>
  <dcterms:modified xsi:type="dcterms:W3CDTF">2026-05-15T03:33:32Z</dcterms:modified>
</cp:coreProperties>
</file>